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1640" windowHeight="5580" activeTab="5"/>
  </bookViews>
  <sheets>
    <sheet name="Proyecto" sheetId="1" r:id="rId1"/>
    <sheet name="Proyecto-R" sheetId="2" state="hidden" r:id="rId2"/>
    <sheet name="Empresa-R" sheetId="4" state="hidden" r:id="rId3"/>
    <sheet name="Empresa" sheetId="8" r:id="rId4"/>
    <sheet name="Empresa 2" sheetId="9" r:id="rId5"/>
    <sheet name="Empresa 3" sheetId="5" r:id="rId6"/>
  </sheets>
  <calcPr calcId="144525" iterate="1"/>
</workbook>
</file>

<file path=xl/calcChain.xml><?xml version="1.0" encoding="utf-8"?>
<calcChain xmlns="http://schemas.openxmlformats.org/spreadsheetml/2006/main">
  <c r="B40" i="9" l="1"/>
  <c r="B45" i="9"/>
  <c r="B114" i="9"/>
  <c r="B128" i="9" s="1"/>
  <c r="B109" i="9"/>
  <c r="B175" i="9"/>
  <c r="K163" i="9"/>
  <c r="K107" i="9"/>
  <c r="J107" i="9"/>
  <c r="I107" i="9"/>
  <c r="H107" i="9"/>
  <c r="G107" i="9"/>
  <c r="F107" i="9"/>
  <c r="E107" i="9"/>
  <c r="D107" i="9"/>
  <c r="C107" i="9"/>
  <c r="B86" i="9"/>
  <c r="K75" i="9"/>
  <c r="J75" i="9"/>
  <c r="I75" i="9"/>
  <c r="H75" i="9"/>
  <c r="G75" i="9"/>
  <c r="F75" i="9"/>
  <c r="E75" i="9"/>
  <c r="D75" i="9"/>
  <c r="C75" i="9"/>
  <c r="B75" i="9"/>
  <c r="B57" i="9"/>
  <c r="B76" i="9" s="1"/>
  <c r="B172" i="9" s="1"/>
  <c r="B53" i="9"/>
  <c r="B52" i="9"/>
  <c r="B42" i="9"/>
  <c r="B108" i="9"/>
  <c r="C19" i="9"/>
  <c r="C53" i="9" s="1"/>
  <c r="C18" i="9"/>
  <c r="C52" i="9" s="1"/>
  <c r="B12" i="9"/>
  <c r="B17" i="9" s="1"/>
  <c r="B20" i="9" s="1"/>
  <c r="C10" i="9"/>
  <c r="D10" i="9" s="1"/>
  <c r="K163" i="8"/>
  <c r="K165" i="1"/>
  <c r="K188" i="1"/>
  <c r="B175" i="8"/>
  <c r="B114" i="8"/>
  <c r="B128" i="8" s="1"/>
  <c r="K107" i="8"/>
  <c r="J107" i="8"/>
  <c r="I107" i="8"/>
  <c r="H107" i="8"/>
  <c r="G107" i="8"/>
  <c r="F107" i="8"/>
  <c r="E107" i="8"/>
  <c r="D107" i="8"/>
  <c r="C107" i="8"/>
  <c r="B107" i="8"/>
  <c r="K75" i="8"/>
  <c r="J75" i="8"/>
  <c r="I75" i="8"/>
  <c r="H75" i="8"/>
  <c r="G75" i="8"/>
  <c r="F75" i="8"/>
  <c r="E75" i="8"/>
  <c r="D75" i="8"/>
  <c r="C75" i="8"/>
  <c r="B75" i="8"/>
  <c r="B57" i="8"/>
  <c r="B76" i="8" s="1"/>
  <c r="B172" i="8" s="1"/>
  <c r="B53" i="8"/>
  <c r="B52" i="8"/>
  <c r="B42" i="8"/>
  <c r="B40" i="8"/>
  <c r="B95" i="8" s="1"/>
  <c r="C23" i="8"/>
  <c r="C108" i="8" s="1"/>
  <c r="B23" i="8"/>
  <c r="B108" i="8" s="1"/>
  <c r="C19" i="8"/>
  <c r="C53" i="8" s="1"/>
  <c r="C18" i="8"/>
  <c r="C52" i="8" s="1"/>
  <c r="C10" i="8"/>
  <c r="D10" i="8" s="1"/>
  <c r="D19" i="9" l="1"/>
  <c r="E19" i="9" s="1"/>
  <c r="F19" i="9" s="1"/>
  <c r="C57" i="8"/>
  <c r="C23" i="9"/>
  <c r="C108" i="9" s="1"/>
  <c r="C57" i="9"/>
  <c r="C76" i="9"/>
  <c r="D23" i="9"/>
  <c r="D108" i="9" s="1"/>
  <c r="D109" i="9" s="1"/>
  <c r="E53" i="9"/>
  <c r="B85" i="9"/>
  <c r="B87" i="9" s="1"/>
  <c r="B90" i="9"/>
  <c r="C90" i="9"/>
  <c r="B91" i="9"/>
  <c r="C91" i="9"/>
  <c r="B16" i="9"/>
  <c r="D40" i="9"/>
  <c r="D42" i="9"/>
  <c r="D53" i="9"/>
  <c r="E91" i="9" s="1"/>
  <c r="D57" i="9"/>
  <c r="E10" i="9"/>
  <c r="D18" i="9"/>
  <c r="C40" i="9"/>
  <c r="C42" i="9"/>
  <c r="D85" i="9" s="1"/>
  <c r="C109" i="9"/>
  <c r="D19" i="8"/>
  <c r="D53" i="8" s="1"/>
  <c r="D42" i="8"/>
  <c r="D40" i="8"/>
  <c r="E10" i="8"/>
  <c r="D18" i="8"/>
  <c r="E19" i="8"/>
  <c r="C90" i="8"/>
  <c r="B109" i="8"/>
  <c r="C42" i="8"/>
  <c r="D85" i="8" s="1"/>
  <c r="C40" i="8"/>
  <c r="C95" i="8" s="1"/>
  <c r="C91" i="8"/>
  <c r="C109" i="8"/>
  <c r="C127" i="8" s="1"/>
  <c r="D57" i="8"/>
  <c r="B85" i="8"/>
  <c r="B90" i="8"/>
  <c r="B91" i="8"/>
  <c r="C76" i="8" l="1"/>
  <c r="D23" i="8"/>
  <c r="D108" i="8" s="1"/>
  <c r="D109" i="8" s="1"/>
  <c r="D127" i="8" s="1"/>
  <c r="D52" i="9"/>
  <c r="E18" i="9"/>
  <c r="E42" i="9"/>
  <c r="E40" i="9"/>
  <c r="F10" i="9"/>
  <c r="B127" i="9"/>
  <c r="B129" i="9" s="1"/>
  <c r="B158" i="9" s="1"/>
  <c r="B169" i="9" s="1"/>
  <c r="B115" i="9"/>
  <c r="D76" i="9"/>
  <c r="E57" i="9"/>
  <c r="E23" i="9"/>
  <c r="E108" i="9" s="1"/>
  <c r="E109" i="9" s="1"/>
  <c r="E95" i="9"/>
  <c r="C127" i="9"/>
  <c r="D95" i="9"/>
  <c r="D127" i="9"/>
  <c r="B43" i="9"/>
  <c r="B15" i="9" s="1"/>
  <c r="C13" i="9" s="1"/>
  <c r="G19" i="9"/>
  <c r="F53" i="9"/>
  <c r="E85" i="9"/>
  <c r="C85" i="9"/>
  <c r="C95" i="9"/>
  <c r="D90" i="9"/>
  <c r="D91" i="9"/>
  <c r="D91" i="8"/>
  <c r="B115" i="8"/>
  <c r="B127" i="8"/>
  <c r="B129" i="8" s="1"/>
  <c r="B158" i="8" s="1"/>
  <c r="B169" i="8" s="1"/>
  <c r="E57" i="8"/>
  <c r="D76" i="8"/>
  <c r="E23" i="8"/>
  <c r="E108" i="8" s="1"/>
  <c r="E109" i="8" s="1"/>
  <c r="E127" i="8" s="1"/>
  <c r="D95" i="8"/>
  <c r="E53" i="8"/>
  <c r="F19" i="8"/>
  <c r="D52" i="8"/>
  <c r="E18" i="8"/>
  <c r="E42" i="8"/>
  <c r="E40" i="8"/>
  <c r="F10" i="8"/>
  <c r="C85" i="8"/>
  <c r="E85" i="8"/>
  <c r="G53" i="9" l="1"/>
  <c r="G91" i="9" s="1"/>
  <c r="H19" i="9"/>
  <c r="E76" i="9"/>
  <c r="F57" i="9"/>
  <c r="F23" i="9"/>
  <c r="F108" i="9" s="1"/>
  <c r="F109" i="9" s="1"/>
  <c r="G10" i="9"/>
  <c r="F42" i="9"/>
  <c r="F85" i="9" s="1"/>
  <c r="F40" i="9"/>
  <c r="F95" i="9"/>
  <c r="B14" i="9"/>
  <c r="F91" i="9"/>
  <c r="E127" i="9"/>
  <c r="E52" i="9"/>
  <c r="E90" i="9" s="1"/>
  <c r="F18" i="9"/>
  <c r="F42" i="8"/>
  <c r="F85" i="8" s="1"/>
  <c r="F40" i="8"/>
  <c r="G10" i="8"/>
  <c r="F95" i="8"/>
  <c r="E52" i="8"/>
  <c r="E90" i="8" s="1"/>
  <c r="F18" i="8"/>
  <c r="F53" i="8"/>
  <c r="F91" i="8" s="1"/>
  <c r="G19" i="8"/>
  <c r="E76" i="8"/>
  <c r="F57" i="8"/>
  <c r="F23" i="8"/>
  <c r="F108" i="8" s="1"/>
  <c r="F109" i="8" s="1"/>
  <c r="F127" i="8" s="1"/>
  <c r="D90" i="8"/>
  <c r="E91" i="8"/>
  <c r="E95" i="8"/>
  <c r="F52" i="9" l="1"/>
  <c r="G18" i="9"/>
  <c r="B51" i="9"/>
  <c r="B89" i="9" s="1"/>
  <c r="F127" i="9"/>
  <c r="G42" i="9"/>
  <c r="G85" i="9" s="1"/>
  <c r="G40" i="9"/>
  <c r="H10" i="9"/>
  <c r="F76" i="9"/>
  <c r="G57" i="9"/>
  <c r="G23" i="9"/>
  <c r="G108" i="9" s="1"/>
  <c r="G109" i="9" s="1"/>
  <c r="I19" i="9"/>
  <c r="H53" i="9"/>
  <c r="F90" i="9"/>
  <c r="G42" i="8"/>
  <c r="G40" i="8"/>
  <c r="H10" i="8"/>
  <c r="G85" i="8"/>
  <c r="G57" i="8"/>
  <c r="F76" i="8"/>
  <c r="G23" i="8"/>
  <c r="G108" i="8" s="1"/>
  <c r="G109" i="8" s="1"/>
  <c r="G127" i="8" s="1"/>
  <c r="G53" i="8"/>
  <c r="H19" i="8"/>
  <c r="F52" i="8"/>
  <c r="F90" i="8" s="1"/>
  <c r="G18" i="8"/>
  <c r="G95" i="8"/>
  <c r="I53" i="9" l="1"/>
  <c r="J19" i="9"/>
  <c r="G76" i="9"/>
  <c r="H57" i="9"/>
  <c r="H23" i="9"/>
  <c r="H108" i="9" s="1"/>
  <c r="H109" i="9" s="1"/>
  <c r="I10" i="9"/>
  <c r="H42" i="9"/>
  <c r="H85" i="9" s="1"/>
  <c r="H40" i="9"/>
  <c r="H95" i="9" s="1"/>
  <c r="G95" i="9"/>
  <c r="G127" i="9"/>
  <c r="G52" i="9"/>
  <c r="G90" i="9" s="1"/>
  <c r="H18" i="9"/>
  <c r="I91" i="9"/>
  <c r="H91" i="9"/>
  <c r="G52" i="8"/>
  <c r="H18" i="8"/>
  <c r="H53" i="8"/>
  <c r="I19" i="8"/>
  <c r="G76" i="8"/>
  <c r="H57" i="8"/>
  <c r="H23" i="8"/>
  <c r="H108" i="8" s="1"/>
  <c r="H109" i="8" s="1"/>
  <c r="H127" i="8" s="1"/>
  <c r="H42" i="8"/>
  <c r="H85" i="8" s="1"/>
  <c r="H40" i="8"/>
  <c r="H95" i="8" s="1"/>
  <c r="I10" i="8"/>
  <c r="G90" i="8"/>
  <c r="H91" i="8"/>
  <c r="G91" i="8"/>
  <c r="H52" i="9" l="1"/>
  <c r="I18" i="9"/>
  <c r="H127" i="9"/>
  <c r="I42" i="9"/>
  <c r="I85" i="9" s="1"/>
  <c r="I40" i="9"/>
  <c r="J10" i="9"/>
  <c r="H76" i="9"/>
  <c r="I57" i="9"/>
  <c r="I23" i="9"/>
  <c r="I108" i="9" s="1"/>
  <c r="I109" i="9" s="1"/>
  <c r="K19" i="9"/>
  <c r="K53" i="9" s="1"/>
  <c r="J53" i="9"/>
  <c r="H90" i="9"/>
  <c r="I42" i="8"/>
  <c r="I40" i="8"/>
  <c r="J10" i="8"/>
  <c r="I57" i="8"/>
  <c r="H76" i="8"/>
  <c r="I23" i="8"/>
  <c r="I108" i="8" s="1"/>
  <c r="I109" i="8" s="1"/>
  <c r="I127" i="8" s="1"/>
  <c r="I53" i="8"/>
  <c r="J19" i="8"/>
  <c r="H52" i="8"/>
  <c r="I18" i="8"/>
  <c r="I85" i="8"/>
  <c r="I127" i="9" l="1"/>
  <c r="K91" i="9"/>
  <c r="J91" i="9"/>
  <c r="I76" i="9"/>
  <c r="J57" i="9"/>
  <c r="J23" i="9"/>
  <c r="J108" i="9" s="1"/>
  <c r="J109" i="9" s="1"/>
  <c r="K10" i="9"/>
  <c r="J42" i="9"/>
  <c r="J40" i="9"/>
  <c r="J95" i="9" s="1"/>
  <c r="I52" i="9"/>
  <c r="I90" i="9" s="1"/>
  <c r="J18" i="9"/>
  <c r="I95" i="9"/>
  <c r="J42" i="8"/>
  <c r="J40" i="8"/>
  <c r="K10" i="8"/>
  <c r="J95" i="8"/>
  <c r="H90" i="8"/>
  <c r="I52" i="8"/>
  <c r="J18" i="8"/>
  <c r="J53" i="8"/>
  <c r="K19" i="8"/>
  <c r="K53" i="8" s="1"/>
  <c r="I76" i="8"/>
  <c r="J57" i="8"/>
  <c r="J23" i="8"/>
  <c r="J108" i="8" s="1"/>
  <c r="J109" i="8" s="1"/>
  <c r="J127" i="8" s="1"/>
  <c r="J85" i="8"/>
  <c r="I91" i="8"/>
  <c r="I95" i="8"/>
  <c r="J52" i="9" l="1"/>
  <c r="K18" i="9"/>
  <c r="K52" i="9" s="1"/>
  <c r="K42" i="9"/>
  <c r="K85" i="9" s="1"/>
  <c r="K40" i="9"/>
  <c r="J76" i="9"/>
  <c r="K57" i="9"/>
  <c r="K76" i="9" s="1"/>
  <c r="K23" i="9"/>
  <c r="K108" i="9" s="1"/>
  <c r="K109" i="9" s="1"/>
  <c r="J127" i="9"/>
  <c r="J90" i="9"/>
  <c r="J85" i="9"/>
  <c r="K91" i="8"/>
  <c r="K57" i="8"/>
  <c r="K76" i="8" s="1"/>
  <c r="J76" i="8"/>
  <c r="K23" i="8"/>
  <c r="K108" i="8" s="1"/>
  <c r="K109" i="8" s="1"/>
  <c r="K127" i="8" s="1"/>
  <c r="J52" i="8"/>
  <c r="J90" i="8" s="1"/>
  <c r="K18" i="8"/>
  <c r="K52" i="8" s="1"/>
  <c r="K42" i="8"/>
  <c r="K85" i="8" s="1"/>
  <c r="K40" i="8"/>
  <c r="J91" i="8"/>
  <c r="K95" i="8"/>
  <c r="I90" i="8"/>
  <c r="K127" i="9" l="1"/>
  <c r="K95" i="9"/>
  <c r="K90" i="9"/>
  <c r="K90" i="8"/>
  <c r="K163" i="5" l="1"/>
  <c r="C75" i="5"/>
  <c r="D75" i="5"/>
  <c r="E75" i="5"/>
  <c r="F75" i="5"/>
  <c r="G75" i="5"/>
  <c r="H75" i="5"/>
  <c r="I75" i="5"/>
  <c r="J75" i="5"/>
  <c r="K75" i="5"/>
  <c r="C76" i="5"/>
  <c r="D76" i="5"/>
  <c r="E76" i="5"/>
  <c r="F76" i="5"/>
  <c r="G76" i="5"/>
  <c r="H76" i="5"/>
  <c r="I76" i="5"/>
  <c r="J76" i="5"/>
  <c r="K76" i="5"/>
  <c r="B76" i="5"/>
  <c r="B75" i="5"/>
  <c r="C65" i="1"/>
  <c r="C18" i="5"/>
  <c r="D124" i="5"/>
  <c r="H124" i="5"/>
  <c r="B124" i="5"/>
  <c r="B86" i="5"/>
  <c r="C101" i="5"/>
  <c r="C124" i="5" s="1"/>
  <c r="D101" i="5"/>
  <c r="E101" i="5"/>
  <c r="E124" i="5" s="1"/>
  <c r="F101" i="5"/>
  <c r="F124" i="5" s="1"/>
  <c r="G101" i="5"/>
  <c r="G124" i="5" s="1"/>
  <c r="H101" i="5"/>
  <c r="I101" i="5"/>
  <c r="I124" i="5" s="1"/>
  <c r="J101" i="5"/>
  <c r="J124" i="5" s="1"/>
  <c r="K101" i="5"/>
  <c r="K124" i="5" s="1"/>
  <c r="B101" i="5"/>
  <c r="C109" i="5"/>
  <c r="C127" i="5" s="1"/>
  <c r="E109" i="5"/>
  <c r="E127" i="5" s="1"/>
  <c r="G109" i="5"/>
  <c r="G127" i="5" s="1"/>
  <c r="I109" i="5"/>
  <c r="I127" i="5" s="1"/>
  <c r="K109" i="5"/>
  <c r="K127" i="5" s="1"/>
  <c r="B114" i="5"/>
  <c r="B128" i="5" s="1"/>
  <c r="C108" i="5"/>
  <c r="D108" i="5"/>
  <c r="D109" i="5" s="1"/>
  <c r="D127" i="5" s="1"/>
  <c r="E108" i="5"/>
  <c r="F108" i="5"/>
  <c r="F109" i="5" s="1"/>
  <c r="F127" i="5" s="1"/>
  <c r="G108" i="5"/>
  <c r="H108" i="5"/>
  <c r="H109" i="5" s="1"/>
  <c r="H127" i="5" s="1"/>
  <c r="I108" i="5"/>
  <c r="J108" i="5"/>
  <c r="J109" i="5" s="1"/>
  <c r="J127" i="5" s="1"/>
  <c r="K108" i="5"/>
  <c r="B108" i="5"/>
  <c r="B109" i="5" s="1"/>
  <c r="C47" i="5"/>
  <c r="C72" i="5" s="1"/>
  <c r="D47" i="5"/>
  <c r="D72" i="5" s="1"/>
  <c r="E47" i="5"/>
  <c r="E72" i="5" s="1"/>
  <c r="F47" i="5"/>
  <c r="F72" i="5" s="1"/>
  <c r="G47" i="5"/>
  <c r="G72" i="5" s="1"/>
  <c r="H47" i="5"/>
  <c r="H72" i="5" s="1"/>
  <c r="I47" i="5"/>
  <c r="I72" i="5" s="1"/>
  <c r="J47" i="5"/>
  <c r="J72" i="5" s="1"/>
  <c r="K47" i="5"/>
  <c r="K72" i="5" s="1"/>
  <c r="B47" i="5"/>
  <c r="B72" i="5" s="1"/>
  <c r="C52" i="5"/>
  <c r="B53" i="5"/>
  <c r="B52" i="5"/>
  <c r="C90" i="5" s="1"/>
  <c r="C54" i="1"/>
  <c r="B42" i="5"/>
  <c r="C40" i="5"/>
  <c r="B42" i="1"/>
  <c r="B40" i="5"/>
  <c r="D18" i="5"/>
  <c r="D52" i="5" s="1"/>
  <c r="C19" i="5"/>
  <c r="C53" i="5" s="1"/>
  <c r="D10" i="5"/>
  <c r="D42" i="5" s="1"/>
  <c r="C10" i="5"/>
  <c r="D18" i="1"/>
  <c r="C135" i="1"/>
  <c r="C136" i="1" s="1"/>
  <c r="C150" i="1" s="1"/>
  <c r="B133" i="1"/>
  <c r="B136" i="1" s="1"/>
  <c r="B150" i="1" s="1"/>
  <c r="B128" i="1"/>
  <c r="B131" i="1" s="1"/>
  <c r="B122" i="1"/>
  <c r="B123" i="1" s="1"/>
  <c r="C117" i="1"/>
  <c r="B117" i="1"/>
  <c r="B118" i="1" s="1"/>
  <c r="B145" i="1" s="1"/>
  <c r="C113" i="1"/>
  <c r="C112" i="1"/>
  <c r="B78" i="1"/>
  <c r="C77" i="1"/>
  <c r="D77" i="1"/>
  <c r="E77" i="1"/>
  <c r="F77" i="1"/>
  <c r="G77" i="1"/>
  <c r="H77" i="1"/>
  <c r="I77" i="1"/>
  <c r="J77" i="1"/>
  <c r="K77" i="1"/>
  <c r="B77" i="1"/>
  <c r="C59" i="1"/>
  <c r="C78" i="1" s="1"/>
  <c r="B67" i="1"/>
  <c r="B66" i="1"/>
  <c r="B79" i="1" s="1"/>
  <c r="B80" i="1" s="1"/>
  <c r="C63" i="1"/>
  <c r="D63" i="1" s="1"/>
  <c r="E63" i="1" s="1"/>
  <c r="F63" i="1" s="1"/>
  <c r="G63" i="1" s="1"/>
  <c r="H63" i="1" s="1"/>
  <c r="I63" i="1" s="1"/>
  <c r="J63" i="1" s="1"/>
  <c r="K63" i="1" s="1"/>
  <c r="B60" i="1"/>
  <c r="D23" i="1"/>
  <c r="D130" i="1" s="1"/>
  <c r="D131" i="1" s="1"/>
  <c r="D149" i="1" s="1"/>
  <c r="C23" i="1"/>
  <c r="C130" i="1" s="1"/>
  <c r="C131" i="1" s="1"/>
  <c r="D129" i="1"/>
  <c r="E129" i="1"/>
  <c r="F129" i="1"/>
  <c r="G129" i="1"/>
  <c r="H129" i="1"/>
  <c r="I129" i="1"/>
  <c r="J129" i="1"/>
  <c r="K129" i="1"/>
  <c r="C129" i="1"/>
  <c r="D54" i="1"/>
  <c r="D55" i="1"/>
  <c r="C55" i="1"/>
  <c r="C21" i="1"/>
  <c r="B49" i="1"/>
  <c r="B74" i="1" s="1"/>
  <c r="D44" i="1"/>
  <c r="C44" i="1"/>
  <c r="C42" i="1"/>
  <c r="E18" i="1"/>
  <c r="E54" i="1" s="1"/>
  <c r="F18" i="1"/>
  <c r="D19" i="1"/>
  <c r="E19" i="1" s="1"/>
  <c r="E10" i="1"/>
  <c r="D10" i="1"/>
  <c r="B124" i="4"/>
  <c r="B76" i="4"/>
  <c r="C61" i="4"/>
  <c r="C108" i="4"/>
  <c r="C23" i="4"/>
  <c r="C53" i="4"/>
  <c r="C45" i="4"/>
  <c r="C21" i="4"/>
  <c r="C100" i="4" s="1"/>
  <c r="C101" i="4" s="1"/>
  <c r="C124" i="4" s="1"/>
  <c r="D19" i="4"/>
  <c r="E19" i="4" s="1"/>
  <c r="C19" i="4"/>
  <c r="C18" i="4"/>
  <c r="C10" i="4"/>
  <c r="B111" i="4"/>
  <c r="B114" i="4" s="1"/>
  <c r="B128" i="4" s="1"/>
  <c r="B106" i="4"/>
  <c r="B100" i="4"/>
  <c r="B101" i="4" s="1"/>
  <c r="B53" i="4"/>
  <c r="B91" i="4" s="1"/>
  <c r="B52" i="4"/>
  <c r="B90" i="4" s="1"/>
  <c r="B46" i="4"/>
  <c r="B47" i="4" s="1"/>
  <c r="B72" i="4" s="1"/>
  <c r="B42" i="4"/>
  <c r="B85" i="4" s="1"/>
  <c r="B87" i="4" s="1"/>
  <c r="B40" i="4"/>
  <c r="B95" i="4" s="1"/>
  <c r="B17" i="4"/>
  <c r="B20" i="4" s="1"/>
  <c r="B22" i="4" s="1"/>
  <c r="B24" i="4" s="1"/>
  <c r="B12" i="4"/>
  <c r="B109" i="4" l="1"/>
  <c r="B127" i="4" s="1"/>
  <c r="B129" i="4" s="1"/>
  <c r="D107" i="4"/>
  <c r="F107" i="4"/>
  <c r="H107" i="4"/>
  <c r="J107" i="4"/>
  <c r="C107" i="4"/>
  <c r="C57" i="4" s="1"/>
  <c r="C40" i="4"/>
  <c r="C95" i="4" s="1"/>
  <c r="C42" i="4"/>
  <c r="C17" i="4"/>
  <c r="C20" i="4" s="1"/>
  <c r="C22" i="4" s="1"/>
  <c r="D10" i="4"/>
  <c r="C52" i="4"/>
  <c r="D18" i="4"/>
  <c r="F19" i="4"/>
  <c r="E53" i="4"/>
  <c r="K107" i="4"/>
  <c r="G107" i="4"/>
  <c r="C46" i="4"/>
  <c r="D53" i="4"/>
  <c r="I107" i="4"/>
  <c r="E107" i="4"/>
  <c r="C109" i="4"/>
  <c r="D61" i="4"/>
  <c r="C85" i="4"/>
  <c r="C91" i="4"/>
  <c r="G18" i="1"/>
  <c r="F54" i="1"/>
  <c r="D107" i="1"/>
  <c r="C107" i="1"/>
  <c r="C122" i="1"/>
  <c r="C48" i="1"/>
  <c r="D112" i="1"/>
  <c r="E112" i="1"/>
  <c r="C149" i="1"/>
  <c r="C151" i="1" s="1"/>
  <c r="C137" i="1"/>
  <c r="D113" i="1"/>
  <c r="D21" i="4"/>
  <c r="C90" i="4"/>
  <c r="E44" i="1"/>
  <c r="F10" i="1"/>
  <c r="F19" i="1"/>
  <c r="E55" i="1"/>
  <c r="E42" i="1"/>
  <c r="B149" i="1"/>
  <c r="B151" i="1" s="1"/>
  <c r="B137" i="1"/>
  <c r="C91" i="5"/>
  <c r="B115" i="5"/>
  <c r="B127" i="5"/>
  <c r="B129" i="5" s="1"/>
  <c r="B158" i="5" s="1"/>
  <c r="B169" i="5" s="1"/>
  <c r="F112" i="1"/>
  <c r="D42" i="1"/>
  <c r="B147" i="1"/>
  <c r="B153" i="1" s="1"/>
  <c r="B154" i="1" s="1"/>
  <c r="B146" i="1"/>
  <c r="B124" i="1"/>
  <c r="B139" i="1" s="1"/>
  <c r="B140" i="1" s="1"/>
  <c r="B43" i="1" s="1"/>
  <c r="D90" i="5"/>
  <c r="E10" i="5"/>
  <c r="E18" i="5"/>
  <c r="D40" i="5"/>
  <c r="B85" i="5"/>
  <c r="B90" i="5"/>
  <c r="D59" i="1"/>
  <c r="B84" i="1"/>
  <c r="D19" i="5"/>
  <c r="C95" i="5"/>
  <c r="D95" i="5"/>
  <c r="C42" i="5"/>
  <c r="D85" i="5" s="1"/>
  <c r="B91" i="5"/>
  <c r="B95" i="5"/>
  <c r="F10" i="5"/>
  <c r="B16" i="4"/>
  <c r="B43" i="4" s="1"/>
  <c r="B15" i="4" s="1"/>
  <c r="B25" i="4"/>
  <c r="B26" i="4" s="1"/>
  <c r="C42" i="2"/>
  <c r="C17" i="2"/>
  <c r="B42" i="2"/>
  <c r="B117" i="2" s="1"/>
  <c r="B118" i="2" s="1"/>
  <c r="K190" i="2"/>
  <c r="B180" i="2"/>
  <c r="B179" i="2"/>
  <c r="B178" i="2"/>
  <c r="C136" i="2"/>
  <c r="C150" i="2" s="1"/>
  <c r="B136" i="2"/>
  <c r="B150" i="2" s="1"/>
  <c r="D135" i="2"/>
  <c r="D136" i="2" s="1"/>
  <c r="D150" i="2" s="1"/>
  <c r="B131" i="2"/>
  <c r="B149" i="2" s="1"/>
  <c r="B151" i="2" s="1"/>
  <c r="B159" i="2" s="1"/>
  <c r="K129" i="2"/>
  <c r="J129" i="2"/>
  <c r="I129" i="2"/>
  <c r="H129" i="2"/>
  <c r="G129" i="2"/>
  <c r="F129" i="2"/>
  <c r="E129" i="2"/>
  <c r="D129" i="2"/>
  <c r="C129" i="2"/>
  <c r="B123" i="2"/>
  <c r="B146" i="2" s="1"/>
  <c r="B115" i="2"/>
  <c r="B109" i="2"/>
  <c r="K77" i="2"/>
  <c r="J77" i="2"/>
  <c r="I77" i="2"/>
  <c r="H77" i="2"/>
  <c r="G77" i="2"/>
  <c r="F77" i="2"/>
  <c r="E77" i="2"/>
  <c r="D77" i="2"/>
  <c r="C77" i="2"/>
  <c r="B77" i="2"/>
  <c r="C65" i="2"/>
  <c r="B64" i="2"/>
  <c r="B63" i="2"/>
  <c r="B59" i="2"/>
  <c r="B78" i="2" s="1"/>
  <c r="C55" i="2"/>
  <c r="C113" i="2" s="1"/>
  <c r="C54" i="2"/>
  <c r="C112" i="2" s="1"/>
  <c r="B47" i="2"/>
  <c r="B49" i="2" s="1"/>
  <c r="C44" i="2"/>
  <c r="C107" i="2" s="1"/>
  <c r="C109" i="2" s="1"/>
  <c r="K35" i="2"/>
  <c r="J35" i="2"/>
  <c r="I35" i="2"/>
  <c r="H35" i="2"/>
  <c r="G35" i="2"/>
  <c r="F35" i="2"/>
  <c r="E35" i="2"/>
  <c r="D35" i="2"/>
  <c r="C35" i="2"/>
  <c r="E19" i="2"/>
  <c r="E55" i="2" s="1"/>
  <c r="D19" i="2"/>
  <c r="E18" i="2"/>
  <c r="F18" i="2" s="1"/>
  <c r="D18" i="2"/>
  <c r="C20" i="2"/>
  <c r="C13" i="2"/>
  <c r="C12" i="2"/>
  <c r="C16" i="2" s="1"/>
  <c r="D10" i="2"/>
  <c r="E10" i="2" s="1"/>
  <c r="E42" i="2" l="1"/>
  <c r="E17" i="2"/>
  <c r="D17" i="2"/>
  <c r="D42" i="2"/>
  <c r="B14" i="4"/>
  <c r="C13" i="4"/>
  <c r="F42" i="5"/>
  <c r="F40" i="5"/>
  <c r="E59" i="1"/>
  <c r="D78" i="1"/>
  <c r="E23" i="1"/>
  <c r="E130" i="1" s="1"/>
  <c r="E131" i="1" s="1"/>
  <c r="E149" i="1" s="1"/>
  <c r="E42" i="5"/>
  <c r="E40" i="5"/>
  <c r="F95" i="5" s="1"/>
  <c r="B46" i="1"/>
  <c r="C11" i="1"/>
  <c r="B72" i="1"/>
  <c r="F42" i="1"/>
  <c r="F44" i="1"/>
  <c r="G10" i="1"/>
  <c r="D100" i="4"/>
  <c r="D101" i="4" s="1"/>
  <c r="D124" i="4" s="1"/>
  <c r="E21" i="4"/>
  <c r="E113" i="1"/>
  <c r="C123" i="1"/>
  <c r="C146" i="1" s="1"/>
  <c r="C47" i="1"/>
  <c r="E61" i="4"/>
  <c r="C127" i="4"/>
  <c r="D46" i="4"/>
  <c r="E46" i="4" s="1"/>
  <c r="C47" i="4"/>
  <c r="C72" i="4" s="1"/>
  <c r="E18" i="4"/>
  <c r="D52" i="4"/>
  <c r="C24" i="4"/>
  <c r="C23" i="2"/>
  <c r="B66" i="2"/>
  <c r="B79" i="2" s="1"/>
  <c r="B80" i="2" s="1"/>
  <c r="B115" i="4"/>
  <c r="D53" i="5"/>
  <c r="E19" i="5"/>
  <c r="F18" i="5"/>
  <c r="E52" i="5"/>
  <c r="C85" i="5"/>
  <c r="E85" i="5"/>
  <c r="E117" i="1"/>
  <c r="D117" i="1"/>
  <c r="B159" i="1"/>
  <c r="B171" i="1" s="1"/>
  <c r="B182" i="1"/>
  <c r="B192" i="1" s="1"/>
  <c r="F117" i="1"/>
  <c r="G19" i="1"/>
  <c r="F55" i="1"/>
  <c r="C159" i="1"/>
  <c r="C171" i="1" s="1"/>
  <c r="C182" i="1"/>
  <c r="C192" i="1" s="1"/>
  <c r="E107" i="1"/>
  <c r="H18" i="1"/>
  <c r="G54" i="1"/>
  <c r="E91" i="4"/>
  <c r="D45" i="4"/>
  <c r="G19" i="4"/>
  <c r="F53" i="4"/>
  <c r="E10" i="4"/>
  <c r="D40" i="4"/>
  <c r="D95" i="4" s="1"/>
  <c r="D42" i="4"/>
  <c r="D17" i="4"/>
  <c r="D20" i="4" s="1"/>
  <c r="D22" i="4" s="1"/>
  <c r="C76" i="4"/>
  <c r="D23" i="4"/>
  <c r="D108" i="4" s="1"/>
  <c r="D109" i="4" s="1"/>
  <c r="D57" i="4"/>
  <c r="D91" i="4"/>
  <c r="G10" i="5"/>
  <c r="B51" i="4"/>
  <c r="B89" i="4" s="1"/>
  <c r="B62" i="4"/>
  <c r="B64" i="4" s="1"/>
  <c r="B77" i="4" s="1"/>
  <c r="B27" i="4"/>
  <c r="B54" i="4"/>
  <c r="C45" i="2"/>
  <c r="C15" i="2" s="1"/>
  <c r="D13" i="2" s="1"/>
  <c r="G18" i="2"/>
  <c r="F54" i="2"/>
  <c r="C21" i="2"/>
  <c r="B74" i="2"/>
  <c r="C22" i="2"/>
  <c r="F10" i="2"/>
  <c r="F19" i="2"/>
  <c r="C117" i="2"/>
  <c r="D44" i="2"/>
  <c r="D54" i="2"/>
  <c r="D112" i="2" s="1"/>
  <c r="C59" i="2"/>
  <c r="C63" i="2"/>
  <c r="C180" i="2"/>
  <c r="C130" i="2"/>
  <c r="C131" i="2" s="1"/>
  <c r="B145" i="2"/>
  <c r="B147" i="2" s="1"/>
  <c r="B153" i="2" s="1"/>
  <c r="B154" i="2" s="1"/>
  <c r="B124" i="2"/>
  <c r="B183" i="2"/>
  <c r="B84" i="2"/>
  <c r="E44" i="2"/>
  <c r="E54" i="2"/>
  <c r="F112" i="2" s="1"/>
  <c r="D55" i="2"/>
  <c r="D113" i="2" s="1"/>
  <c r="B60" i="2"/>
  <c r="B67" i="2" s="1"/>
  <c r="B137" i="2"/>
  <c r="F42" i="2" l="1"/>
  <c r="F17" i="2"/>
  <c r="B28" i="4"/>
  <c r="C63" i="4" s="1"/>
  <c r="C113" i="4"/>
  <c r="C114" i="4" s="1"/>
  <c r="G42" i="5"/>
  <c r="G40" i="5"/>
  <c r="D76" i="4"/>
  <c r="E57" i="4"/>
  <c r="E23" i="4"/>
  <c r="E108" i="4" s="1"/>
  <c r="E109" i="4" s="1"/>
  <c r="F10" i="4"/>
  <c r="E40" i="4"/>
  <c r="E95" i="4" s="1"/>
  <c r="E17" i="4"/>
  <c r="E20" i="4" s="1"/>
  <c r="E22" i="4" s="1"/>
  <c r="E42" i="4"/>
  <c r="E45" i="4"/>
  <c r="D47" i="4"/>
  <c r="D72" i="4" s="1"/>
  <c r="I18" i="1"/>
  <c r="H54" i="1"/>
  <c r="E90" i="5"/>
  <c r="C25" i="4"/>
  <c r="C54" i="4" s="1"/>
  <c r="F91" i="4"/>
  <c r="F61" i="4"/>
  <c r="C49" i="1"/>
  <c r="G107" i="1"/>
  <c r="C12" i="1"/>
  <c r="C108" i="1"/>
  <c r="C109" i="1" s="1"/>
  <c r="F59" i="1"/>
  <c r="F23" i="1"/>
  <c r="F130" i="1" s="1"/>
  <c r="F131" i="1" s="1"/>
  <c r="F149" i="1" s="1"/>
  <c r="E78" i="1"/>
  <c r="G85" i="5"/>
  <c r="E107" i="2"/>
  <c r="B92" i="4"/>
  <c r="C92" i="4"/>
  <c r="B78" i="4"/>
  <c r="B136" i="4"/>
  <c r="D127" i="4"/>
  <c r="D85" i="4"/>
  <c r="D24" i="4"/>
  <c r="D90" i="4"/>
  <c r="H19" i="4"/>
  <c r="G53" i="4"/>
  <c r="H112" i="1"/>
  <c r="F107" i="1"/>
  <c r="H19" i="1"/>
  <c r="G55" i="1"/>
  <c r="D91" i="5"/>
  <c r="G18" i="5"/>
  <c r="F52" i="5"/>
  <c r="F19" i="5"/>
  <c r="E53" i="5"/>
  <c r="F18" i="4"/>
  <c r="E52" i="4"/>
  <c r="G112" i="1"/>
  <c r="F21" i="4"/>
  <c r="E100" i="4"/>
  <c r="E101" i="4" s="1"/>
  <c r="E124" i="4" s="1"/>
  <c r="G44" i="1"/>
  <c r="H10" i="1"/>
  <c r="G42" i="1"/>
  <c r="G117" i="1"/>
  <c r="F113" i="1"/>
  <c r="B75" i="1"/>
  <c r="C96" i="1" s="1"/>
  <c r="B73" i="1"/>
  <c r="B83" i="1" s="1"/>
  <c r="B85" i="1" s="1"/>
  <c r="B50" i="1"/>
  <c r="F85" i="5"/>
  <c r="E95" i="5"/>
  <c r="G95" i="5"/>
  <c r="H10" i="5"/>
  <c r="B93" i="4"/>
  <c r="B94" i="4" s="1"/>
  <c r="B96" i="4" s="1"/>
  <c r="B56" i="4"/>
  <c r="B58" i="4" s="1"/>
  <c r="B65" i="4" s="1"/>
  <c r="C14" i="2"/>
  <c r="C149" i="2"/>
  <c r="C151" i="2" s="1"/>
  <c r="C159" i="2" s="1"/>
  <c r="C137" i="2"/>
  <c r="C78" i="2"/>
  <c r="D59" i="2"/>
  <c r="D23" i="2"/>
  <c r="C24" i="2"/>
  <c r="C179" i="2"/>
  <c r="C122" i="2"/>
  <c r="C48" i="2"/>
  <c r="G54" i="2"/>
  <c r="G112" i="2" s="1"/>
  <c r="H18" i="2"/>
  <c r="C53" i="2"/>
  <c r="C111" i="2" s="1"/>
  <c r="D63" i="2"/>
  <c r="F55" i="2"/>
  <c r="F113" i="2" s="1"/>
  <c r="G19" i="2"/>
  <c r="F44" i="2"/>
  <c r="F107" i="2" s="1"/>
  <c r="G10" i="2"/>
  <c r="E113" i="2"/>
  <c r="B139" i="2"/>
  <c r="B140" i="2" s="1"/>
  <c r="E112" i="2"/>
  <c r="D107" i="2"/>
  <c r="H42" i="1" l="1"/>
  <c r="I10" i="1"/>
  <c r="H44" i="1"/>
  <c r="G21" i="4"/>
  <c r="F100" i="4"/>
  <c r="F101" i="4" s="1"/>
  <c r="F124" i="4" s="1"/>
  <c r="G59" i="1"/>
  <c r="F78" i="1"/>
  <c r="G23" i="1"/>
  <c r="G130" i="1" s="1"/>
  <c r="G131" i="1" s="1"/>
  <c r="G149" i="1" s="1"/>
  <c r="G61" i="4"/>
  <c r="F46" i="4"/>
  <c r="E90" i="4"/>
  <c r="G113" i="1"/>
  <c r="J18" i="1"/>
  <c r="I54" i="1"/>
  <c r="F45" i="4"/>
  <c r="E47" i="4"/>
  <c r="E72" i="4" s="1"/>
  <c r="G10" i="4"/>
  <c r="F40" i="4"/>
  <c r="F95" i="4" s="1"/>
  <c r="F42" i="4"/>
  <c r="F17" i="4"/>
  <c r="F20" i="4" s="1"/>
  <c r="F22" i="4" s="1"/>
  <c r="F57" i="4"/>
  <c r="F23" i="4"/>
  <c r="F108" i="4" s="1"/>
  <c r="F109" i="4" s="1"/>
  <c r="E76" i="4"/>
  <c r="G42" i="2"/>
  <c r="G17" i="2"/>
  <c r="B102" i="4"/>
  <c r="B117" i="4" s="1"/>
  <c r="B118" i="4" s="1"/>
  <c r="B41" i="4" s="1"/>
  <c r="B123" i="4"/>
  <c r="B125" i="4" s="1"/>
  <c r="B131" i="4" s="1"/>
  <c r="B132" i="4" s="1"/>
  <c r="H42" i="5"/>
  <c r="H40" i="5"/>
  <c r="H117" i="1"/>
  <c r="H107" i="1"/>
  <c r="G18" i="4"/>
  <c r="F52" i="4"/>
  <c r="G19" i="5"/>
  <c r="F53" i="5"/>
  <c r="H18" i="5"/>
  <c r="G52" i="5"/>
  <c r="I19" i="1"/>
  <c r="H55" i="1"/>
  <c r="I19" i="4"/>
  <c r="H53" i="4"/>
  <c r="D25" i="4"/>
  <c r="D54" i="4" s="1"/>
  <c r="D26" i="4"/>
  <c r="C17" i="1"/>
  <c r="C20" i="1" s="1"/>
  <c r="C22" i="1" s="1"/>
  <c r="C16" i="1"/>
  <c r="C74" i="1"/>
  <c r="D21" i="1"/>
  <c r="C26" i="4"/>
  <c r="E91" i="5"/>
  <c r="F90" i="5"/>
  <c r="I112" i="1"/>
  <c r="G91" i="4"/>
  <c r="E24" i="4"/>
  <c r="E85" i="4"/>
  <c r="E127" i="4"/>
  <c r="H85" i="5"/>
  <c r="C128" i="4"/>
  <c r="C129" i="4" s="1"/>
  <c r="C115" i="4"/>
  <c r="I10" i="5"/>
  <c r="B43" i="2"/>
  <c r="G44" i="2"/>
  <c r="G107" i="2" s="1"/>
  <c r="H10" i="2"/>
  <c r="G113" i="2"/>
  <c r="G55" i="2"/>
  <c r="H19" i="2"/>
  <c r="D78" i="2"/>
  <c r="E23" i="2"/>
  <c r="E130" i="2" s="1"/>
  <c r="E131" i="2" s="1"/>
  <c r="E59" i="2"/>
  <c r="E63" i="2"/>
  <c r="I18" i="2"/>
  <c r="H54" i="2"/>
  <c r="H112" i="2" s="1"/>
  <c r="C123" i="2"/>
  <c r="C146" i="2" s="1"/>
  <c r="C47" i="2"/>
  <c r="C25" i="2"/>
  <c r="C26" i="2"/>
  <c r="D180" i="2"/>
  <c r="D130" i="2"/>
  <c r="D131" i="2" s="1"/>
  <c r="D122" i="1" l="1"/>
  <c r="D48" i="1"/>
  <c r="C45" i="1"/>
  <c r="C15" i="1" s="1"/>
  <c r="D13" i="1" s="1"/>
  <c r="D142" i="4"/>
  <c r="D27" i="4"/>
  <c r="E113" i="4" s="1"/>
  <c r="E114" i="4" s="1"/>
  <c r="D62" i="4"/>
  <c r="D28" i="4"/>
  <c r="B44" i="4"/>
  <c r="B70" i="4"/>
  <c r="C11" i="4"/>
  <c r="H95" i="5"/>
  <c r="F127" i="4"/>
  <c r="F24" i="4"/>
  <c r="H10" i="4"/>
  <c r="G42" i="4"/>
  <c r="G40" i="4"/>
  <c r="G95" i="4" s="1"/>
  <c r="G17" i="4"/>
  <c r="G20" i="4" s="1"/>
  <c r="G22" i="4" s="1"/>
  <c r="H59" i="1"/>
  <c r="G78" i="1"/>
  <c r="H23" i="1"/>
  <c r="H130" i="1" s="1"/>
  <c r="H131" i="1" s="1"/>
  <c r="H149" i="1" s="1"/>
  <c r="H91" i="4"/>
  <c r="G90" i="5"/>
  <c r="F90" i="4"/>
  <c r="H21" i="4"/>
  <c r="G100" i="4"/>
  <c r="G101" i="4" s="1"/>
  <c r="G124" i="4" s="1"/>
  <c r="I44" i="1"/>
  <c r="J10" i="1"/>
  <c r="I42" i="1"/>
  <c r="H42" i="2"/>
  <c r="H17" i="2"/>
  <c r="I42" i="5"/>
  <c r="I40" i="5"/>
  <c r="E26" i="4"/>
  <c r="E25" i="4"/>
  <c r="E54" i="4" s="1"/>
  <c r="C145" i="4"/>
  <c r="C27" i="4"/>
  <c r="D113" i="4" s="1"/>
  <c r="D114" i="4" s="1"/>
  <c r="C142" i="4"/>
  <c r="C62" i="4"/>
  <c r="C64" i="4" s="1"/>
  <c r="C77" i="4" s="1"/>
  <c r="C24" i="1"/>
  <c r="C92" i="1"/>
  <c r="E92" i="4"/>
  <c r="J19" i="4"/>
  <c r="I53" i="4"/>
  <c r="J19" i="1"/>
  <c r="I55" i="1"/>
  <c r="I18" i="5"/>
  <c r="H52" i="5"/>
  <c r="H19" i="5"/>
  <c r="G53" i="5"/>
  <c r="H18" i="4"/>
  <c r="G52" i="4"/>
  <c r="I85" i="5"/>
  <c r="G57" i="4"/>
  <c r="F76" i="4"/>
  <c r="G23" i="4"/>
  <c r="G108" i="4" s="1"/>
  <c r="G109" i="4" s="1"/>
  <c r="F85" i="4"/>
  <c r="G45" i="4"/>
  <c r="F47" i="4"/>
  <c r="F72" i="4" s="1"/>
  <c r="K18" i="1"/>
  <c r="K54" i="1" s="1"/>
  <c r="J54" i="1"/>
  <c r="K112" i="1" s="1"/>
  <c r="D92" i="4"/>
  <c r="G46" i="4"/>
  <c r="H46" i="4" s="1"/>
  <c r="H61" i="4"/>
  <c r="H113" i="1"/>
  <c r="F91" i="5"/>
  <c r="I107" i="1"/>
  <c r="I117" i="1"/>
  <c r="J10" i="5"/>
  <c r="C49" i="2"/>
  <c r="C183" i="2"/>
  <c r="H55" i="2"/>
  <c r="H113" i="2" s="1"/>
  <c r="I19" i="2"/>
  <c r="D149" i="2"/>
  <c r="D151" i="2" s="1"/>
  <c r="D159" i="2" s="1"/>
  <c r="D137" i="2"/>
  <c r="C93" i="2"/>
  <c r="C178" i="2"/>
  <c r="C90" i="2"/>
  <c r="C28" i="2"/>
  <c r="D65" i="2" s="1"/>
  <c r="C64" i="2"/>
  <c r="C66" i="2" s="1"/>
  <c r="C79" i="2" s="1"/>
  <c r="E149" i="2"/>
  <c r="C114" i="2"/>
  <c r="C115" i="2" s="1"/>
  <c r="C116" i="2" s="1"/>
  <c r="C118" i="2" s="1"/>
  <c r="C56" i="2"/>
  <c r="C58" i="2" s="1"/>
  <c r="C60" i="2" s="1"/>
  <c r="I112" i="2"/>
  <c r="I54" i="2"/>
  <c r="J18" i="2"/>
  <c r="F63" i="2"/>
  <c r="E78" i="2"/>
  <c r="F59" i="2"/>
  <c r="F23" i="2"/>
  <c r="F130" i="2" s="1"/>
  <c r="F131" i="2" s="1"/>
  <c r="H44" i="2"/>
  <c r="H107" i="2" s="1"/>
  <c r="I10" i="2"/>
  <c r="B72" i="2"/>
  <c r="B46" i="2"/>
  <c r="I42" i="2" l="1"/>
  <c r="I17" i="2"/>
  <c r="J42" i="5"/>
  <c r="J40" i="5"/>
  <c r="G127" i="4"/>
  <c r="H57" i="4"/>
  <c r="G76" i="4"/>
  <c r="H23" i="4"/>
  <c r="H108" i="4" s="1"/>
  <c r="H109" i="4" s="1"/>
  <c r="C25" i="1"/>
  <c r="C136" i="4"/>
  <c r="C78" i="4"/>
  <c r="D128" i="4"/>
  <c r="D129" i="4" s="1"/>
  <c r="D115" i="4"/>
  <c r="E142" i="4"/>
  <c r="E62" i="4"/>
  <c r="E28" i="4"/>
  <c r="E27" i="4"/>
  <c r="F113" i="4" s="1"/>
  <c r="F114" i="4" s="1"/>
  <c r="J95" i="5"/>
  <c r="J42" i="1"/>
  <c r="J44" i="1"/>
  <c r="K10" i="1"/>
  <c r="I21" i="4"/>
  <c r="H100" i="4"/>
  <c r="H101" i="4" s="1"/>
  <c r="H124" i="4" s="1"/>
  <c r="I59" i="1"/>
  <c r="H78" i="1"/>
  <c r="I23" i="1"/>
  <c r="I130" i="1" s="1"/>
  <c r="I131" i="1" s="1"/>
  <c r="I149" i="1" s="1"/>
  <c r="G24" i="4"/>
  <c r="H85" i="4"/>
  <c r="I10" i="4"/>
  <c r="H40" i="4"/>
  <c r="H95" i="4" s="1"/>
  <c r="H42" i="4"/>
  <c r="H17" i="4"/>
  <c r="H20" i="4" s="1"/>
  <c r="H22" i="4" s="1"/>
  <c r="C86" i="4"/>
  <c r="C87" i="4" s="1"/>
  <c r="C12" i="4"/>
  <c r="C16" i="4" s="1"/>
  <c r="B48" i="4"/>
  <c r="B71" i="4"/>
  <c r="B135" i="4" s="1"/>
  <c r="G90" i="4"/>
  <c r="H90" i="5"/>
  <c r="I91" i="4"/>
  <c r="D64" i="4"/>
  <c r="D77" i="4" s="1"/>
  <c r="D145" i="4"/>
  <c r="D123" i="1"/>
  <c r="D146" i="1" s="1"/>
  <c r="D47" i="1"/>
  <c r="C67" i="2"/>
  <c r="I61" i="4"/>
  <c r="H45" i="4"/>
  <c r="G47" i="4"/>
  <c r="G72" i="4" s="1"/>
  <c r="G85" i="4"/>
  <c r="I18" i="4"/>
  <c r="H52" i="4"/>
  <c r="I19" i="5"/>
  <c r="H53" i="5"/>
  <c r="J18" i="5"/>
  <c r="I52" i="5"/>
  <c r="K19" i="1"/>
  <c r="K55" i="1" s="1"/>
  <c r="J55" i="1"/>
  <c r="K113" i="1" s="1"/>
  <c r="K19" i="4"/>
  <c r="K53" i="4" s="1"/>
  <c r="J53" i="4"/>
  <c r="K91" i="4" s="1"/>
  <c r="C28" i="4"/>
  <c r="D63" i="4" s="1"/>
  <c r="E63" i="4" s="1"/>
  <c r="J85" i="5"/>
  <c r="J117" i="1"/>
  <c r="J107" i="1"/>
  <c r="J112" i="1"/>
  <c r="F25" i="4"/>
  <c r="F54" i="4" s="1"/>
  <c r="B73" i="4"/>
  <c r="I95" i="5"/>
  <c r="G91" i="5"/>
  <c r="I113" i="1"/>
  <c r="E128" i="4"/>
  <c r="E129" i="4" s="1"/>
  <c r="E115" i="4"/>
  <c r="C14" i="1"/>
  <c r="C53" i="1" s="1"/>
  <c r="K10" i="5"/>
  <c r="F78" i="2"/>
  <c r="G23" i="2"/>
  <c r="G130" i="2" s="1"/>
  <c r="G131" i="2" s="1"/>
  <c r="G59" i="2"/>
  <c r="G63" i="2"/>
  <c r="K18" i="2"/>
  <c r="J54" i="2"/>
  <c r="J112" i="2" s="1"/>
  <c r="C145" i="2"/>
  <c r="C147" i="2" s="1"/>
  <c r="C153" i="2" s="1"/>
  <c r="C154" i="2" s="1"/>
  <c r="C124" i="2"/>
  <c r="C139" i="2" s="1"/>
  <c r="C140" i="2" s="1"/>
  <c r="C74" i="2"/>
  <c r="D21" i="2"/>
  <c r="B73" i="2"/>
  <c r="B75" i="2" s="1"/>
  <c r="B50" i="2"/>
  <c r="I44" i="2"/>
  <c r="I107" i="2" s="1"/>
  <c r="J10" i="2"/>
  <c r="B181" i="2"/>
  <c r="B184" i="2" s="1"/>
  <c r="B196" i="2" s="1"/>
  <c r="F149" i="2"/>
  <c r="C80" i="2"/>
  <c r="C84" i="2"/>
  <c r="I55" i="2"/>
  <c r="I113" i="2" s="1"/>
  <c r="J19" i="2"/>
  <c r="K42" i="5" l="1"/>
  <c r="K40" i="5"/>
  <c r="C111" i="1"/>
  <c r="B153" i="4"/>
  <c r="C148" i="4"/>
  <c r="B152" i="4"/>
  <c r="C144" i="4"/>
  <c r="C143" i="4"/>
  <c r="G92" i="4"/>
  <c r="F92" i="4"/>
  <c r="D78" i="4"/>
  <c r="D136" i="4"/>
  <c r="B138" i="4"/>
  <c r="B149" i="4"/>
  <c r="B137" i="4"/>
  <c r="C43" i="4"/>
  <c r="C15" i="4" s="1"/>
  <c r="D13" i="4" s="1"/>
  <c r="H24" i="4"/>
  <c r="G26" i="4"/>
  <c r="G25" i="4"/>
  <c r="G54" i="4" s="1"/>
  <c r="K44" i="1"/>
  <c r="K42" i="1"/>
  <c r="K117" i="1"/>
  <c r="E145" i="4"/>
  <c r="C56" i="1"/>
  <c r="C114" i="1" s="1"/>
  <c r="C115" i="1" s="1"/>
  <c r="C116" i="1" s="1"/>
  <c r="C118" i="1" s="1"/>
  <c r="J113" i="1"/>
  <c r="H91" i="5"/>
  <c r="H127" i="4"/>
  <c r="I57" i="4"/>
  <c r="H76" i="4"/>
  <c r="I23" i="4"/>
  <c r="I108" i="4" s="1"/>
  <c r="I109" i="4" s="1"/>
  <c r="K95" i="5"/>
  <c r="J42" i="2"/>
  <c r="J17" i="2"/>
  <c r="F26" i="4"/>
  <c r="F63" i="4"/>
  <c r="K18" i="5"/>
  <c r="K52" i="5" s="1"/>
  <c r="J52" i="5"/>
  <c r="K90" i="5" s="1"/>
  <c r="J19" i="5"/>
  <c r="I53" i="5"/>
  <c r="J18" i="4"/>
  <c r="I52" i="4"/>
  <c r="I45" i="4"/>
  <c r="H47" i="4"/>
  <c r="H72" i="4" s="1"/>
  <c r="J61" i="4"/>
  <c r="D49" i="1"/>
  <c r="J10" i="4"/>
  <c r="I40" i="4"/>
  <c r="I95" i="4" s="1"/>
  <c r="I17" i="4"/>
  <c r="I20" i="4" s="1"/>
  <c r="I22" i="4" s="1"/>
  <c r="I42" i="4"/>
  <c r="J59" i="1"/>
  <c r="J23" i="1"/>
  <c r="J130" i="1" s="1"/>
  <c r="J131" i="1" s="1"/>
  <c r="J149" i="1" s="1"/>
  <c r="I78" i="1"/>
  <c r="J21" i="4"/>
  <c r="I100" i="4"/>
  <c r="I101" i="4" s="1"/>
  <c r="I124" i="4" s="1"/>
  <c r="K107" i="1"/>
  <c r="F128" i="4"/>
  <c r="F129" i="4" s="1"/>
  <c r="F115" i="4"/>
  <c r="E64" i="4"/>
  <c r="E77" i="4" s="1"/>
  <c r="C26" i="1"/>
  <c r="J91" i="4"/>
  <c r="I90" i="5"/>
  <c r="H90" i="4"/>
  <c r="I46" i="4"/>
  <c r="K85" i="5"/>
  <c r="K10" i="2"/>
  <c r="J44" i="2"/>
  <c r="J107" i="2" s="1"/>
  <c r="D122" i="2"/>
  <c r="D179" i="2"/>
  <c r="D48" i="2"/>
  <c r="C43" i="2"/>
  <c r="G149" i="2"/>
  <c r="J55" i="2"/>
  <c r="J113" i="2" s="1"/>
  <c r="K19" i="2"/>
  <c r="B101" i="2"/>
  <c r="C96" i="2"/>
  <c r="B76" i="2"/>
  <c r="B100" i="2"/>
  <c r="C92" i="2"/>
  <c r="C91" i="2"/>
  <c r="B182" i="2"/>
  <c r="B83" i="2"/>
  <c r="K112" i="2"/>
  <c r="K54" i="2"/>
  <c r="H63" i="2"/>
  <c r="G78" i="2"/>
  <c r="H59" i="2"/>
  <c r="H23" i="2"/>
  <c r="H130" i="2" s="1"/>
  <c r="H131" i="2" s="1"/>
  <c r="K35" i="1"/>
  <c r="J35" i="1"/>
  <c r="I35" i="1"/>
  <c r="H35" i="1"/>
  <c r="G35" i="1"/>
  <c r="F35" i="1"/>
  <c r="E35" i="1"/>
  <c r="D35" i="1"/>
  <c r="C35" i="1"/>
  <c r="C124" i="1" l="1"/>
  <c r="C139" i="1" s="1"/>
  <c r="C140" i="1" s="1"/>
  <c r="C43" i="1" s="1"/>
  <c r="C145" i="1"/>
  <c r="C147" i="1" s="1"/>
  <c r="C153" i="1" s="1"/>
  <c r="C154" i="1" s="1"/>
  <c r="K42" i="2"/>
  <c r="K17" i="2"/>
  <c r="C64" i="1"/>
  <c r="C66" i="1" s="1"/>
  <c r="C79" i="1" s="1"/>
  <c r="C91" i="1"/>
  <c r="C90" i="1"/>
  <c r="C93" i="1"/>
  <c r="C27" i="1"/>
  <c r="D135" i="1" s="1"/>
  <c r="D136" i="1" s="1"/>
  <c r="K21" i="4"/>
  <c r="K100" i="4" s="1"/>
  <c r="K101" i="4" s="1"/>
  <c r="K124" i="4" s="1"/>
  <c r="J100" i="4"/>
  <c r="J101" i="4" s="1"/>
  <c r="J124" i="4" s="1"/>
  <c r="K10" i="4"/>
  <c r="J40" i="4"/>
  <c r="J95" i="4" s="1"/>
  <c r="J42" i="4"/>
  <c r="J17" i="4"/>
  <c r="J20" i="4" s="1"/>
  <c r="J22" i="4" s="1"/>
  <c r="J90" i="4"/>
  <c r="G63" i="4"/>
  <c r="I127" i="4"/>
  <c r="J57" i="4"/>
  <c r="J23" i="4"/>
  <c r="J108" i="4" s="1"/>
  <c r="J109" i="4" s="1"/>
  <c r="I76" i="4"/>
  <c r="G62" i="4"/>
  <c r="G142" i="4"/>
  <c r="G27" i="4"/>
  <c r="H113" i="4" s="1"/>
  <c r="H114" i="4" s="1"/>
  <c r="I90" i="4"/>
  <c r="J90" i="5"/>
  <c r="C58" i="1"/>
  <c r="C60" i="1" s="1"/>
  <c r="J46" i="4"/>
  <c r="K46" i="4" s="1"/>
  <c r="E78" i="4"/>
  <c r="E136" i="4"/>
  <c r="K59" i="1"/>
  <c r="K78" i="1" s="1"/>
  <c r="J78" i="1"/>
  <c r="K23" i="1"/>
  <c r="K130" i="1" s="1"/>
  <c r="K131" i="1" s="1"/>
  <c r="K149" i="1" s="1"/>
  <c r="I24" i="4"/>
  <c r="I85" i="4"/>
  <c r="D74" i="1"/>
  <c r="E21" i="1"/>
  <c r="K61" i="4"/>
  <c r="J45" i="4"/>
  <c r="I47" i="4"/>
  <c r="I72" i="4" s="1"/>
  <c r="K18" i="4"/>
  <c r="K52" i="4" s="1"/>
  <c r="J52" i="4"/>
  <c r="K19" i="5"/>
  <c r="K53" i="5" s="1"/>
  <c r="J53" i="5"/>
  <c r="F142" i="4"/>
  <c r="F145" i="4"/>
  <c r="F27" i="4"/>
  <c r="G113" i="4" s="1"/>
  <c r="G114" i="4" s="1"/>
  <c r="F62" i="4"/>
  <c r="F64" i="4" s="1"/>
  <c r="F77" i="4" s="1"/>
  <c r="F28" i="4"/>
  <c r="H25" i="4"/>
  <c r="H54" i="4" s="1"/>
  <c r="C14" i="4"/>
  <c r="C51" i="4" s="1"/>
  <c r="I91" i="5"/>
  <c r="H149" i="2"/>
  <c r="H78" i="2"/>
  <c r="I23" i="2"/>
  <c r="I130" i="2" s="1"/>
  <c r="I131" i="2" s="1"/>
  <c r="I59" i="2"/>
  <c r="I63" i="2"/>
  <c r="B86" i="2"/>
  <c r="B85" i="2"/>
  <c r="C72" i="2"/>
  <c r="D11" i="2"/>
  <c r="C46" i="2"/>
  <c r="D123" i="2"/>
  <c r="D146" i="2" s="1"/>
  <c r="D47" i="2"/>
  <c r="K113" i="2"/>
  <c r="K55" i="2"/>
  <c r="K44" i="2"/>
  <c r="K107" i="2" s="1"/>
  <c r="C89" i="4" l="1"/>
  <c r="C93" i="4" s="1"/>
  <c r="C94" i="4" s="1"/>
  <c r="C96" i="4" s="1"/>
  <c r="C56" i="4"/>
  <c r="C58" i="4" s="1"/>
  <c r="C65" i="4" s="1"/>
  <c r="F136" i="4"/>
  <c r="F78" i="4"/>
  <c r="K45" i="4"/>
  <c r="K47" i="4" s="1"/>
  <c r="K72" i="4" s="1"/>
  <c r="J47" i="4"/>
  <c r="J72" i="4" s="1"/>
  <c r="I25" i="4"/>
  <c r="I54" i="4" s="1"/>
  <c r="H128" i="4"/>
  <c r="H129" i="4" s="1"/>
  <c r="H115" i="4"/>
  <c r="G28" i="4"/>
  <c r="H63" i="4" s="1"/>
  <c r="J127" i="4"/>
  <c r="J85" i="4"/>
  <c r="C84" i="1"/>
  <c r="C80" i="1"/>
  <c r="C72" i="1"/>
  <c r="D11" i="1"/>
  <c r="C46" i="1"/>
  <c r="H26" i="4"/>
  <c r="H92" i="4"/>
  <c r="G128" i="4"/>
  <c r="G129" i="4" s="1"/>
  <c r="G115" i="4"/>
  <c r="K91" i="5"/>
  <c r="K90" i="4"/>
  <c r="E122" i="1"/>
  <c r="E48" i="1"/>
  <c r="C67" i="1"/>
  <c r="G145" i="4"/>
  <c r="G64" i="4"/>
  <c r="G77" i="4" s="1"/>
  <c r="K57" i="4"/>
  <c r="K76" i="4" s="1"/>
  <c r="J76" i="4"/>
  <c r="K23" i="4"/>
  <c r="K108" i="4" s="1"/>
  <c r="K109" i="4" s="1"/>
  <c r="J91" i="5"/>
  <c r="J24" i="4"/>
  <c r="K42" i="4"/>
  <c r="K85" i="4" s="1"/>
  <c r="K40" i="4"/>
  <c r="K95" i="4" s="1"/>
  <c r="K17" i="4"/>
  <c r="K20" i="4" s="1"/>
  <c r="K22" i="4" s="1"/>
  <c r="D137" i="1"/>
  <c r="D150" i="1"/>
  <c r="D151" i="1" s="1"/>
  <c r="C28" i="1"/>
  <c r="D65" i="1" s="1"/>
  <c r="D49" i="2"/>
  <c r="D183" i="2"/>
  <c r="C73" i="2"/>
  <c r="C50" i="2"/>
  <c r="C75" i="2"/>
  <c r="C181" i="2"/>
  <c r="I149" i="2"/>
  <c r="D108" i="2"/>
  <c r="D109" i="2" s="1"/>
  <c r="D12" i="2"/>
  <c r="J63" i="2"/>
  <c r="I78" i="2"/>
  <c r="J59" i="2"/>
  <c r="J23" i="2"/>
  <c r="I63" i="4" l="1"/>
  <c r="D182" i="1"/>
  <c r="D192" i="1" s="1"/>
  <c r="D159" i="1"/>
  <c r="D171" i="1" s="1"/>
  <c r="K24" i="4"/>
  <c r="J25" i="4"/>
  <c r="J54" i="4" s="1"/>
  <c r="J26" i="4"/>
  <c r="K127" i="4"/>
  <c r="G136" i="4"/>
  <c r="G78" i="4"/>
  <c r="C50" i="1"/>
  <c r="C73" i="1"/>
  <c r="C83" i="1" s="1"/>
  <c r="C85" i="1" s="1"/>
  <c r="C97" i="1"/>
  <c r="J92" i="4"/>
  <c r="C102" i="4"/>
  <c r="C117" i="4" s="1"/>
  <c r="C118" i="4" s="1"/>
  <c r="C41" i="4" s="1"/>
  <c r="C123" i="4"/>
  <c r="C125" i="4" s="1"/>
  <c r="C131" i="4" s="1"/>
  <c r="C132" i="4" s="1"/>
  <c r="E123" i="1"/>
  <c r="E146" i="1" s="1"/>
  <c r="E47" i="1"/>
  <c r="E49" i="1" s="1"/>
  <c r="H142" i="4"/>
  <c r="H145" i="4"/>
  <c r="H27" i="4"/>
  <c r="I113" i="4" s="1"/>
  <c r="I114" i="4" s="1"/>
  <c r="H62" i="4"/>
  <c r="H64" i="4" s="1"/>
  <c r="H77" i="4" s="1"/>
  <c r="H28" i="4"/>
  <c r="D12" i="1"/>
  <c r="D108" i="1"/>
  <c r="D109" i="1" s="1"/>
  <c r="I26" i="4"/>
  <c r="I92" i="4"/>
  <c r="D117" i="2"/>
  <c r="D16" i="2"/>
  <c r="J78" i="2"/>
  <c r="K23" i="2"/>
  <c r="K59" i="2"/>
  <c r="K78" i="2" s="1"/>
  <c r="K63" i="2"/>
  <c r="D20" i="2"/>
  <c r="D22" i="2" s="1"/>
  <c r="C101" i="2"/>
  <c r="C76" i="2"/>
  <c r="D96" i="2"/>
  <c r="C100" i="2"/>
  <c r="C83" i="2"/>
  <c r="C182" i="2"/>
  <c r="C184" i="2" s="1"/>
  <c r="C196" i="2" s="1"/>
  <c r="J130" i="2"/>
  <c r="J131" i="2" s="1"/>
  <c r="J180" i="2"/>
  <c r="D74" i="2"/>
  <c r="E21" i="2"/>
  <c r="D16" i="1" l="1"/>
  <c r="D17" i="1"/>
  <c r="D20" i="1" s="1"/>
  <c r="D22" i="1" s="1"/>
  <c r="H136" i="4"/>
  <c r="H78" i="4"/>
  <c r="J142" i="4"/>
  <c r="J27" i="4"/>
  <c r="K113" i="4" s="1"/>
  <c r="K114" i="4" s="1"/>
  <c r="J62" i="4"/>
  <c r="J28" i="4"/>
  <c r="I142" i="4"/>
  <c r="I145" i="4"/>
  <c r="I62" i="4"/>
  <c r="I64" i="4" s="1"/>
  <c r="I77" i="4" s="1"/>
  <c r="I28" i="4"/>
  <c r="J63" i="4" s="1"/>
  <c r="K63" i="4" s="1"/>
  <c r="I27" i="4"/>
  <c r="J113" i="4" s="1"/>
  <c r="J114" i="4" s="1"/>
  <c r="I128" i="4"/>
  <c r="I129" i="4" s="1"/>
  <c r="I115" i="4"/>
  <c r="F21" i="1"/>
  <c r="E74" i="1"/>
  <c r="C70" i="4"/>
  <c r="C44" i="4"/>
  <c r="D11" i="4"/>
  <c r="C75" i="1"/>
  <c r="K26" i="4"/>
  <c r="K25" i="4"/>
  <c r="K54" i="4" s="1"/>
  <c r="D45" i="2"/>
  <c r="D15" i="2" s="1"/>
  <c r="E13" i="2" s="1"/>
  <c r="E122" i="2"/>
  <c r="E48" i="2"/>
  <c r="J149" i="2"/>
  <c r="C97" i="2"/>
  <c r="C85" i="2"/>
  <c r="C86" i="2"/>
  <c r="D92" i="2"/>
  <c r="D24" i="2"/>
  <c r="K180" i="2"/>
  <c r="K130" i="2"/>
  <c r="K131" i="2" s="1"/>
  <c r="K62" i="4" l="1"/>
  <c r="K64" i="4" s="1"/>
  <c r="K77" i="4" s="1"/>
  <c r="K142" i="4"/>
  <c r="K145" i="4"/>
  <c r="K27" i="4"/>
  <c r="K28" i="4" s="1"/>
  <c r="D12" i="4"/>
  <c r="D16" i="4" s="1"/>
  <c r="D86" i="4"/>
  <c r="D87" i="4" s="1"/>
  <c r="F122" i="1"/>
  <c r="F48" i="1"/>
  <c r="K128" i="4"/>
  <c r="K129" i="4" s="1"/>
  <c r="K115" i="4"/>
  <c r="D45" i="1"/>
  <c r="D15" i="1" s="1"/>
  <c r="E13" i="1" s="1"/>
  <c r="D14" i="1"/>
  <c r="K92" i="4"/>
  <c r="C101" i="1"/>
  <c r="D96" i="1"/>
  <c r="C100" i="1"/>
  <c r="C48" i="4"/>
  <c r="C49" i="4" s="1"/>
  <c r="C71" i="4"/>
  <c r="C135" i="4" s="1"/>
  <c r="J128" i="4"/>
  <c r="J129" i="4" s="1"/>
  <c r="J115" i="4"/>
  <c r="I78" i="4"/>
  <c r="I136" i="4"/>
  <c r="J64" i="4"/>
  <c r="J77" i="4" s="1"/>
  <c r="J145" i="4"/>
  <c r="D24" i="1"/>
  <c r="D92" i="1"/>
  <c r="D25" i="2"/>
  <c r="E123" i="2"/>
  <c r="E146" i="2" s="1"/>
  <c r="E47" i="2"/>
  <c r="D14" i="2"/>
  <c r="K149" i="2"/>
  <c r="C138" i="4" l="1"/>
  <c r="C137" i="4"/>
  <c r="C149" i="4"/>
  <c r="D53" i="1"/>
  <c r="D111" i="1"/>
  <c r="D115" i="1" s="1"/>
  <c r="D116" i="1" s="1"/>
  <c r="D118" i="1" s="1"/>
  <c r="C73" i="4"/>
  <c r="D43" i="4"/>
  <c r="D15" i="4" s="1"/>
  <c r="E13" i="4" s="1"/>
  <c r="K78" i="4"/>
  <c r="K136" i="4"/>
  <c r="D25" i="1"/>
  <c r="D56" i="1" s="1"/>
  <c r="D114" i="1" s="1"/>
  <c r="D26" i="1"/>
  <c r="J78" i="4"/>
  <c r="J136" i="4"/>
  <c r="F47" i="1"/>
  <c r="F49" i="1" s="1"/>
  <c r="F123" i="1"/>
  <c r="F146" i="1" s="1"/>
  <c r="E49" i="2"/>
  <c r="D56" i="2"/>
  <c r="D114" i="2" s="1"/>
  <c r="D53" i="2"/>
  <c r="D26" i="2"/>
  <c r="D91" i="1" l="1"/>
  <c r="D90" i="1"/>
  <c r="D64" i="1"/>
  <c r="D66" i="1" s="1"/>
  <c r="D79" i="1" s="1"/>
  <c r="D27" i="1"/>
  <c r="E135" i="1" s="1"/>
  <c r="E136" i="1" s="1"/>
  <c r="C153" i="4"/>
  <c r="D148" i="4"/>
  <c r="C152" i="4"/>
  <c r="D144" i="4"/>
  <c r="D143" i="4"/>
  <c r="D124" i="1"/>
  <c r="D139" i="1" s="1"/>
  <c r="D140" i="1" s="1"/>
  <c r="D43" i="1" s="1"/>
  <c r="D145" i="1"/>
  <c r="D147" i="1" s="1"/>
  <c r="D153" i="1" s="1"/>
  <c r="D154" i="1" s="1"/>
  <c r="G21" i="1"/>
  <c r="F74" i="1"/>
  <c r="D14" i="4"/>
  <c r="D58" i="1"/>
  <c r="D60" i="1" s="1"/>
  <c r="D67" i="1" s="1"/>
  <c r="D58" i="2"/>
  <c r="D60" i="2" s="1"/>
  <c r="D67" i="2" s="1"/>
  <c r="D178" i="2"/>
  <c r="D90" i="2"/>
  <c r="D93" i="2"/>
  <c r="D91" i="2"/>
  <c r="D64" i="2"/>
  <c r="D66" i="2" s="1"/>
  <c r="D79" i="2" s="1"/>
  <c r="D27" i="2"/>
  <c r="E135" i="2" s="1"/>
  <c r="E136" i="2" s="1"/>
  <c r="E74" i="2"/>
  <c r="F21" i="2"/>
  <c r="D111" i="2"/>
  <c r="D115" i="2" s="1"/>
  <c r="D116" i="2" s="1"/>
  <c r="D118" i="2" s="1"/>
  <c r="E137" i="1" l="1"/>
  <c r="E150" i="1"/>
  <c r="E151" i="1" s="1"/>
  <c r="D28" i="2"/>
  <c r="E65" i="2" s="1"/>
  <c r="D51" i="4"/>
  <c r="D56" i="4" s="1"/>
  <c r="D58" i="4" s="1"/>
  <c r="D65" i="4" s="1"/>
  <c r="D89" i="4"/>
  <c r="D93" i="4" s="1"/>
  <c r="D94" i="4" s="1"/>
  <c r="D96" i="4" s="1"/>
  <c r="G122" i="1"/>
  <c r="G48" i="1"/>
  <c r="D46" i="1"/>
  <c r="E11" i="1"/>
  <c r="D72" i="1"/>
  <c r="D28" i="1"/>
  <c r="E65" i="1" s="1"/>
  <c r="D84" i="1"/>
  <c r="D80" i="1"/>
  <c r="D93" i="1"/>
  <c r="F122" i="2"/>
  <c r="F48" i="2"/>
  <c r="D84" i="2"/>
  <c r="D80" i="2"/>
  <c r="D145" i="2"/>
  <c r="D147" i="2" s="1"/>
  <c r="D153" i="2" s="1"/>
  <c r="D154" i="2" s="1"/>
  <c r="D124" i="2"/>
  <c r="D139" i="2" s="1"/>
  <c r="D140" i="2" s="1"/>
  <c r="E150" i="2"/>
  <c r="E151" i="2" s="1"/>
  <c r="E159" i="2" s="1"/>
  <c r="E137" i="2"/>
  <c r="E108" i="1" l="1"/>
  <c r="E109" i="1" s="1"/>
  <c r="E12" i="1"/>
  <c r="D102" i="4"/>
  <c r="D117" i="4" s="1"/>
  <c r="D118" i="4" s="1"/>
  <c r="D41" i="4" s="1"/>
  <c r="D123" i="4"/>
  <c r="D125" i="4" s="1"/>
  <c r="D131" i="4" s="1"/>
  <c r="D132" i="4" s="1"/>
  <c r="D73" i="1"/>
  <c r="D83" i="1" s="1"/>
  <c r="D97" i="1" s="1"/>
  <c r="D50" i="1"/>
  <c r="G47" i="1"/>
  <c r="G49" i="1" s="1"/>
  <c r="G123" i="1"/>
  <c r="G146" i="1" s="1"/>
  <c r="E159" i="1"/>
  <c r="E171" i="1" s="1"/>
  <c r="E182" i="1"/>
  <c r="E192" i="1" s="1"/>
  <c r="F123" i="2"/>
  <c r="F146" i="2" s="1"/>
  <c r="F47" i="2"/>
  <c r="D43" i="2"/>
  <c r="H21" i="1" l="1"/>
  <c r="G74" i="1"/>
  <c r="D85" i="1"/>
  <c r="D75" i="1"/>
  <c r="D70" i="4"/>
  <c r="E11" i="4"/>
  <c r="D44" i="4"/>
  <c r="E17" i="1"/>
  <c r="E20" i="1" s="1"/>
  <c r="E22" i="1" s="1"/>
  <c r="E16" i="1"/>
  <c r="D72" i="2"/>
  <c r="E11" i="2"/>
  <c r="D46" i="2"/>
  <c r="F49" i="2"/>
  <c r="E45" i="1" l="1"/>
  <c r="E15" i="1" s="1"/>
  <c r="F13" i="1" s="1"/>
  <c r="D48" i="4"/>
  <c r="D49" i="4" s="1"/>
  <c r="D71" i="4"/>
  <c r="D135" i="4" s="1"/>
  <c r="D73" i="4"/>
  <c r="H122" i="1"/>
  <c r="H48" i="1"/>
  <c r="E92" i="1"/>
  <c r="E24" i="1"/>
  <c r="E12" i="4"/>
  <c r="E16" i="4" s="1"/>
  <c r="E86" i="4"/>
  <c r="E87" i="4" s="1"/>
  <c r="D101" i="1"/>
  <c r="E96" i="1"/>
  <c r="D100" i="1"/>
  <c r="D73" i="2"/>
  <c r="D50" i="2"/>
  <c r="D181" i="2"/>
  <c r="G21" i="2"/>
  <c r="F74" i="2"/>
  <c r="E108" i="2"/>
  <c r="E109" i="2" s="1"/>
  <c r="E12" i="2"/>
  <c r="E25" i="1" l="1"/>
  <c r="E56" i="1" s="1"/>
  <c r="E114" i="1" s="1"/>
  <c r="D153" i="4"/>
  <c r="E148" i="4"/>
  <c r="D152" i="4"/>
  <c r="E144" i="4"/>
  <c r="E143" i="4"/>
  <c r="E43" i="4"/>
  <c r="E15" i="4" s="1"/>
  <c r="F13" i="4" s="1"/>
  <c r="H47" i="1"/>
  <c r="H49" i="1" s="1"/>
  <c r="H123" i="1"/>
  <c r="H146" i="1" s="1"/>
  <c r="D138" i="4"/>
  <c r="D149" i="4"/>
  <c r="D137" i="4"/>
  <c r="E14" i="1"/>
  <c r="E117" i="2"/>
  <c r="E16" i="2"/>
  <c r="E20" i="2"/>
  <c r="E22" i="2" s="1"/>
  <c r="D83" i="2"/>
  <c r="D182" i="2"/>
  <c r="D184" i="2" s="1"/>
  <c r="D196" i="2" s="1"/>
  <c r="G122" i="2"/>
  <c r="G48" i="2"/>
  <c r="D75" i="2"/>
  <c r="I21" i="1" l="1"/>
  <c r="H74" i="1"/>
  <c r="E53" i="1"/>
  <c r="E58" i="1" s="1"/>
  <c r="E60" i="1" s="1"/>
  <c r="E14" i="4"/>
  <c r="E51" i="4" s="1"/>
  <c r="E26" i="1"/>
  <c r="E92" i="2"/>
  <c r="E24" i="2"/>
  <c r="D101" i="2"/>
  <c r="D76" i="2"/>
  <c r="E96" i="2"/>
  <c r="D100" i="2"/>
  <c r="G123" i="2"/>
  <c r="G146" i="2" s="1"/>
  <c r="G47" i="2"/>
  <c r="D86" i="2"/>
  <c r="D97" i="2"/>
  <c r="D85" i="2"/>
  <c r="E89" i="4" l="1"/>
  <c r="E93" i="4" s="1"/>
  <c r="E94" i="4" s="1"/>
  <c r="E96" i="4" s="1"/>
  <c r="E56" i="4"/>
  <c r="E58" i="4" s="1"/>
  <c r="E65" i="4" s="1"/>
  <c r="E67" i="1"/>
  <c r="I122" i="1"/>
  <c r="I48" i="1"/>
  <c r="E91" i="1"/>
  <c r="E27" i="1"/>
  <c r="F135" i="1" s="1"/>
  <c r="F136" i="1" s="1"/>
  <c r="E90" i="1"/>
  <c r="E64" i="1"/>
  <c r="E66" i="1" s="1"/>
  <c r="E79" i="1" s="1"/>
  <c r="E93" i="1"/>
  <c r="E111" i="1"/>
  <c r="E115" i="1" s="1"/>
  <c r="E116" i="1" s="1"/>
  <c r="E118" i="1" s="1"/>
  <c r="E45" i="2"/>
  <c r="E15" i="2" s="1"/>
  <c r="F13" i="2" s="1"/>
  <c r="G49" i="2"/>
  <c r="E25" i="2"/>
  <c r="F150" i="1" l="1"/>
  <c r="F151" i="1" s="1"/>
  <c r="F137" i="1"/>
  <c r="E102" i="4"/>
  <c r="E117" i="4" s="1"/>
  <c r="E118" i="4" s="1"/>
  <c r="E41" i="4" s="1"/>
  <c r="E123" i="4"/>
  <c r="E125" i="4" s="1"/>
  <c r="E131" i="4" s="1"/>
  <c r="E132" i="4" s="1"/>
  <c r="E145" i="1"/>
  <c r="E147" i="1" s="1"/>
  <c r="E153" i="1" s="1"/>
  <c r="E154" i="1" s="1"/>
  <c r="E124" i="1"/>
  <c r="E139" i="1" s="1"/>
  <c r="E140" i="1" s="1"/>
  <c r="E43" i="1" s="1"/>
  <c r="E84" i="1"/>
  <c r="E80" i="1"/>
  <c r="E28" i="1"/>
  <c r="F65" i="1" s="1"/>
  <c r="I47" i="1"/>
  <c r="I49" i="1" s="1"/>
  <c r="I123" i="1"/>
  <c r="I146" i="1" s="1"/>
  <c r="E56" i="2"/>
  <c r="E114" i="2" s="1"/>
  <c r="G74" i="2"/>
  <c r="H21" i="2"/>
  <c r="E26" i="2"/>
  <c r="E14" i="2"/>
  <c r="J21" i="1" l="1"/>
  <c r="I74" i="1"/>
  <c r="E46" i="1"/>
  <c r="E72" i="1"/>
  <c r="F11" i="1"/>
  <c r="F159" i="1"/>
  <c r="F171" i="1" s="1"/>
  <c r="F182" i="1"/>
  <c r="F192" i="1" s="1"/>
  <c r="E70" i="4"/>
  <c r="E44" i="4"/>
  <c r="F11" i="4"/>
  <c r="E93" i="2"/>
  <c r="E91" i="2"/>
  <c r="E90" i="2"/>
  <c r="E64" i="2"/>
  <c r="E66" i="2" s="1"/>
  <c r="E79" i="2" s="1"/>
  <c r="E27" i="2"/>
  <c r="F135" i="2" s="1"/>
  <c r="F136" i="2" s="1"/>
  <c r="E53" i="2"/>
  <c r="E58" i="2" s="1"/>
  <c r="E60" i="2" s="1"/>
  <c r="H122" i="2"/>
  <c r="H48" i="2"/>
  <c r="F86" i="4" l="1"/>
  <c r="F87" i="4" s="1"/>
  <c r="F12" i="4"/>
  <c r="F16" i="4" s="1"/>
  <c r="F108" i="1"/>
  <c r="F109" i="1" s="1"/>
  <c r="F12" i="1"/>
  <c r="E73" i="1"/>
  <c r="E83" i="1" s="1"/>
  <c r="E50" i="1"/>
  <c r="J122" i="1"/>
  <c r="J48" i="1"/>
  <c r="E48" i="4"/>
  <c r="E49" i="4" s="1"/>
  <c r="E71" i="4"/>
  <c r="E135" i="4" s="1"/>
  <c r="E75" i="1"/>
  <c r="E111" i="2"/>
  <c r="E115" i="2" s="1"/>
  <c r="E116" i="2" s="1"/>
  <c r="E118" i="2" s="1"/>
  <c r="E145" i="2" s="1"/>
  <c r="E147" i="2" s="1"/>
  <c r="E153" i="2" s="1"/>
  <c r="E154" i="2" s="1"/>
  <c r="E84" i="2"/>
  <c r="E80" i="2"/>
  <c r="H123" i="2"/>
  <c r="H146" i="2" s="1"/>
  <c r="H47" i="2"/>
  <c r="F150" i="2"/>
  <c r="F151" i="2" s="1"/>
  <c r="F159" i="2" s="1"/>
  <c r="F137" i="2"/>
  <c r="E67" i="2"/>
  <c r="E28" i="2"/>
  <c r="F65" i="2" s="1"/>
  <c r="E138" i="4" l="1"/>
  <c r="E149" i="4"/>
  <c r="E137" i="4"/>
  <c r="F16" i="1"/>
  <c r="F17" i="1"/>
  <c r="F20" i="1" s="1"/>
  <c r="F22" i="1" s="1"/>
  <c r="E73" i="4"/>
  <c r="E101" i="1"/>
  <c r="F96" i="1"/>
  <c r="E100" i="1"/>
  <c r="J47" i="1"/>
  <c r="J49" i="1" s="1"/>
  <c r="J123" i="1"/>
  <c r="J146" i="1" s="1"/>
  <c r="E85" i="1"/>
  <c r="E97" i="1"/>
  <c r="F43" i="4"/>
  <c r="F15" i="4" s="1"/>
  <c r="G13" i="4" s="1"/>
  <c r="E124" i="2"/>
  <c r="E139" i="2" s="1"/>
  <c r="E140" i="2" s="1"/>
  <c r="E43" i="2" s="1"/>
  <c r="H49" i="2"/>
  <c r="K21" i="1" l="1"/>
  <c r="J74" i="1"/>
  <c r="E153" i="4"/>
  <c r="F148" i="4"/>
  <c r="E152" i="4"/>
  <c r="F144" i="4"/>
  <c r="F143" i="4"/>
  <c r="F45" i="1"/>
  <c r="F15" i="1" s="1"/>
  <c r="G13" i="1" s="1"/>
  <c r="F14" i="1"/>
  <c r="F14" i="4"/>
  <c r="F51" i="4" s="1"/>
  <c r="F92" i="1"/>
  <c r="F24" i="1"/>
  <c r="H74" i="2"/>
  <c r="I21" i="2"/>
  <c r="E72" i="2"/>
  <c r="F11" i="2"/>
  <c r="E46" i="2"/>
  <c r="F53" i="1" l="1"/>
  <c r="K122" i="1"/>
  <c r="K48" i="1"/>
  <c r="F25" i="1"/>
  <c r="F56" i="1" s="1"/>
  <c r="F114" i="1" s="1"/>
  <c r="F89" i="4"/>
  <c r="F93" i="4" s="1"/>
  <c r="F94" i="4" s="1"/>
  <c r="F96" i="4" s="1"/>
  <c r="F56" i="4"/>
  <c r="F58" i="4" s="1"/>
  <c r="F65" i="4" s="1"/>
  <c r="E73" i="2"/>
  <c r="E83" i="2" s="1"/>
  <c r="E50" i="2"/>
  <c r="F108" i="2"/>
  <c r="F109" i="2" s="1"/>
  <c r="F12" i="2"/>
  <c r="I122" i="2"/>
  <c r="I48" i="2"/>
  <c r="E75" i="2"/>
  <c r="F102" i="4" l="1"/>
  <c r="F117" i="4" s="1"/>
  <c r="F118" i="4" s="1"/>
  <c r="F41" i="4" s="1"/>
  <c r="F123" i="4"/>
  <c r="F125" i="4" s="1"/>
  <c r="F131" i="4" s="1"/>
  <c r="F132" i="4" s="1"/>
  <c r="K47" i="1"/>
  <c r="K49" i="1" s="1"/>
  <c r="K74" i="1" s="1"/>
  <c r="K123" i="1"/>
  <c r="K146" i="1" s="1"/>
  <c r="F58" i="1"/>
  <c r="F60" i="1" s="1"/>
  <c r="F26" i="1"/>
  <c r="F111" i="1"/>
  <c r="F115" i="1" s="1"/>
  <c r="F116" i="1" s="1"/>
  <c r="F118" i="1" s="1"/>
  <c r="F117" i="2"/>
  <c r="F16" i="2"/>
  <c r="E101" i="2"/>
  <c r="E76" i="2"/>
  <c r="F96" i="2"/>
  <c r="E100" i="2"/>
  <c r="I123" i="2"/>
  <c r="I146" i="2" s="1"/>
  <c r="I47" i="2"/>
  <c r="E86" i="2"/>
  <c r="E97" i="2"/>
  <c r="E85" i="2"/>
  <c r="F20" i="2"/>
  <c r="F22" i="2" s="1"/>
  <c r="F145" i="1" l="1"/>
  <c r="F147" i="1" s="1"/>
  <c r="F153" i="1" s="1"/>
  <c r="F154" i="1" s="1"/>
  <c r="F124" i="1"/>
  <c r="F139" i="1" s="1"/>
  <c r="F140" i="1" s="1"/>
  <c r="F43" i="1" s="1"/>
  <c r="F70" i="4"/>
  <c r="G11" i="4"/>
  <c r="F44" i="4"/>
  <c r="F91" i="1"/>
  <c r="F90" i="1"/>
  <c r="F27" i="1"/>
  <c r="G135" i="1" s="1"/>
  <c r="G136" i="1" s="1"/>
  <c r="F64" i="1"/>
  <c r="F66" i="1" s="1"/>
  <c r="F79" i="1" s="1"/>
  <c r="F45" i="2"/>
  <c r="F15" i="2" s="1"/>
  <c r="F92" i="2"/>
  <c r="F24" i="2"/>
  <c r="I49" i="2"/>
  <c r="F84" i="1" l="1"/>
  <c r="F80" i="1"/>
  <c r="G150" i="1"/>
  <c r="G151" i="1" s="1"/>
  <c r="G137" i="1"/>
  <c r="G86" i="4"/>
  <c r="G87" i="4" s="1"/>
  <c r="G12" i="4"/>
  <c r="G16" i="4" s="1"/>
  <c r="F67" i="1"/>
  <c r="F93" i="1"/>
  <c r="F28" i="1"/>
  <c r="G65" i="1" s="1"/>
  <c r="F48" i="4"/>
  <c r="F49" i="4" s="1"/>
  <c r="F71" i="4"/>
  <c r="F135" i="4" s="1"/>
  <c r="F72" i="1"/>
  <c r="F46" i="1"/>
  <c r="G11" i="1"/>
  <c r="G13" i="2"/>
  <c r="F14" i="2"/>
  <c r="F53" i="2" s="1"/>
  <c r="I74" i="2"/>
  <c r="J21" i="2"/>
  <c r="F25" i="2"/>
  <c r="F26" i="2" s="1"/>
  <c r="G12" i="1" l="1"/>
  <c r="G108" i="1"/>
  <c r="G109" i="1" s="1"/>
  <c r="F75" i="1"/>
  <c r="F138" i="4"/>
  <c r="F149" i="4"/>
  <c r="F137" i="4"/>
  <c r="G159" i="1"/>
  <c r="G171" i="1" s="1"/>
  <c r="G182" i="1"/>
  <c r="G192" i="1" s="1"/>
  <c r="F97" i="1"/>
  <c r="F50" i="1"/>
  <c r="F73" i="1"/>
  <c r="F83" i="1" s="1"/>
  <c r="F85" i="1" s="1"/>
  <c r="F73" i="4"/>
  <c r="G43" i="4"/>
  <c r="G15" i="4" s="1"/>
  <c r="H13" i="4" s="1"/>
  <c r="G14" i="4"/>
  <c r="F90" i="2"/>
  <c r="F93" i="2"/>
  <c r="F91" i="2"/>
  <c r="F64" i="2"/>
  <c r="F66" i="2" s="1"/>
  <c r="F79" i="2" s="1"/>
  <c r="F27" i="2"/>
  <c r="G135" i="2" s="1"/>
  <c r="G136" i="2" s="1"/>
  <c r="F111" i="2"/>
  <c r="F56" i="2"/>
  <c r="F58" i="2" s="1"/>
  <c r="F60" i="2" s="1"/>
  <c r="J179" i="2"/>
  <c r="J122" i="2"/>
  <c r="J48" i="2"/>
  <c r="G51" i="4" l="1"/>
  <c r="G56" i="4" s="1"/>
  <c r="G58" i="4" s="1"/>
  <c r="G65" i="4" s="1"/>
  <c r="F153" i="4"/>
  <c r="G148" i="4"/>
  <c r="G144" i="4"/>
  <c r="F152" i="4"/>
  <c r="G143" i="4"/>
  <c r="F101" i="1"/>
  <c r="G96" i="1"/>
  <c r="F100" i="1"/>
  <c r="G16" i="1"/>
  <c r="G17" i="1"/>
  <c r="G20" i="1" s="1"/>
  <c r="G22" i="1" s="1"/>
  <c r="F67" i="2"/>
  <c r="F114" i="2"/>
  <c r="G150" i="2"/>
  <c r="G151" i="2" s="1"/>
  <c r="G159" i="2" s="1"/>
  <c r="G137" i="2"/>
  <c r="J123" i="2"/>
  <c r="J146" i="2" s="1"/>
  <c r="J47" i="2"/>
  <c r="F84" i="2"/>
  <c r="F80" i="2"/>
  <c r="F115" i="2"/>
  <c r="F116" i="2" s="1"/>
  <c r="F118" i="2" s="1"/>
  <c r="F28" i="2"/>
  <c r="G65" i="2" s="1"/>
  <c r="G45" i="1" l="1"/>
  <c r="G15" i="1" s="1"/>
  <c r="H13" i="1" s="1"/>
  <c r="G92" i="1"/>
  <c r="G24" i="1"/>
  <c r="G25" i="1" s="1"/>
  <c r="G89" i="4"/>
  <c r="G93" i="4" s="1"/>
  <c r="G94" i="4" s="1"/>
  <c r="G96" i="4" s="1"/>
  <c r="F145" i="2"/>
  <c r="F147" i="2" s="1"/>
  <c r="F153" i="2" s="1"/>
  <c r="F154" i="2" s="1"/>
  <c r="F124" i="2"/>
  <c r="F139" i="2" s="1"/>
  <c r="F140" i="2" s="1"/>
  <c r="J49" i="2"/>
  <c r="J183" i="2"/>
  <c r="G102" i="4" l="1"/>
  <c r="G117" i="4" s="1"/>
  <c r="G118" i="4" s="1"/>
  <c r="G41" i="4" s="1"/>
  <c r="G123" i="4"/>
  <c r="G125" i="4" s="1"/>
  <c r="G131" i="4" s="1"/>
  <c r="G132" i="4" s="1"/>
  <c r="G26" i="1"/>
  <c r="G56" i="1"/>
  <c r="G114" i="1" s="1"/>
  <c r="G14" i="1"/>
  <c r="G53" i="1" s="1"/>
  <c r="K21" i="2"/>
  <c r="J74" i="2"/>
  <c r="F43" i="2"/>
  <c r="G111" i="1" l="1"/>
  <c r="G115" i="1" s="1"/>
  <c r="G116" i="1" s="1"/>
  <c r="G118" i="1" s="1"/>
  <c r="G58" i="1"/>
  <c r="G60" i="1" s="1"/>
  <c r="G91" i="1"/>
  <c r="G90" i="1"/>
  <c r="G64" i="1"/>
  <c r="G66" i="1" s="1"/>
  <c r="G79" i="1" s="1"/>
  <c r="G27" i="1"/>
  <c r="H135" i="1" s="1"/>
  <c r="H136" i="1" s="1"/>
  <c r="G28" i="1"/>
  <c r="H65" i="1" s="1"/>
  <c r="G70" i="4"/>
  <c r="H11" i="4"/>
  <c r="G44" i="4"/>
  <c r="K179" i="2"/>
  <c r="K122" i="2"/>
  <c r="K48" i="2"/>
  <c r="F72" i="2"/>
  <c r="G11" i="2"/>
  <c r="F46" i="2"/>
  <c r="G48" i="4" l="1"/>
  <c r="G49" i="4" s="1"/>
  <c r="G71" i="4"/>
  <c r="G135" i="4" s="1"/>
  <c r="G73" i="4"/>
  <c r="G84" i="1"/>
  <c r="G80" i="1"/>
  <c r="G124" i="1"/>
  <c r="G139" i="1" s="1"/>
  <c r="G140" i="1" s="1"/>
  <c r="G43" i="1" s="1"/>
  <c r="G145" i="1"/>
  <c r="G147" i="1" s="1"/>
  <c r="G153" i="1" s="1"/>
  <c r="G154" i="1" s="1"/>
  <c r="H86" i="4"/>
  <c r="H87" i="4" s="1"/>
  <c r="H12" i="4"/>
  <c r="H16" i="4" s="1"/>
  <c r="G93" i="1"/>
  <c r="H137" i="1"/>
  <c r="H150" i="1"/>
  <c r="H151" i="1" s="1"/>
  <c r="G67" i="1"/>
  <c r="F73" i="2"/>
  <c r="F83" i="2" s="1"/>
  <c r="F50" i="2"/>
  <c r="G108" i="2"/>
  <c r="G109" i="2" s="1"/>
  <c r="G12" i="2"/>
  <c r="K123" i="2"/>
  <c r="K146" i="2" s="1"/>
  <c r="K47" i="2"/>
  <c r="F75" i="2"/>
  <c r="H43" i="4" l="1"/>
  <c r="H15" i="4" s="1"/>
  <c r="I13" i="4" s="1"/>
  <c r="G153" i="4"/>
  <c r="H148" i="4"/>
  <c r="H144" i="4"/>
  <c r="G152" i="4"/>
  <c r="H143" i="4"/>
  <c r="H159" i="1"/>
  <c r="H171" i="1" s="1"/>
  <c r="H182" i="1"/>
  <c r="H192" i="1" s="1"/>
  <c r="G72" i="1"/>
  <c r="H11" i="1"/>
  <c r="G46" i="1"/>
  <c r="G138" i="4"/>
  <c r="G137" i="4"/>
  <c r="G149" i="4"/>
  <c r="G117" i="2"/>
  <c r="G16" i="2"/>
  <c r="F101" i="2"/>
  <c r="F76" i="2"/>
  <c r="G96" i="2"/>
  <c r="F100" i="2"/>
  <c r="F86" i="2"/>
  <c r="F97" i="2"/>
  <c r="F85" i="2"/>
  <c r="K49" i="2"/>
  <c r="K74" i="2" s="1"/>
  <c r="K183" i="2"/>
  <c r="G20" i="2"/>
  <c r="G22" i="2" s="1"/>
  <c r="H108" i="1" l="1"/>
  <c r="H109" i="1" s="1"/>
  <c r="H12" i="1"/>
  <c r="G73" i="1"/>
  <c r="G83" i="1" s="1"/>
  <c r="G50" i="1"/>
  <c r="G75" i="1"/>
  <c r="H14" i="4"/>
  <c r="H51" i="4" s="1"/>
  <c r="G92" i="2"/>
  <c r="G24" i="2"/>
  <c r="G101" i="1" l="1"/>
  <c r="H96" i="1"/>
  <c r="G100" i="1"/>
  <c r="G85" i="1"/>
  <c r="G97" i="1"/>
  <c r="H89" i="4"/>
  <c r="H93" i="4" s="1"/>
  <c r="H94" i="4" s="1"/>
  <c r="H96" i="4" s="1"/>
  <c r="H56" i="4"/>
  <c r="H58" i="4" s="1"/>
  <c r="H65" i="4" s="1"/>
  <c r="H16" i="1"/>
  <c r="H17" i="1"/>
  <c r="H20" i="1" s="1"/>
  <c r="H22" i="1" s="1"/>
  <c r="G45" i="2"/>
  <c r="G15" i="2" s="1"/>
  <c r="H13" i="2" s="1"/>
  <c r="G25" i="2"/>
  <c r="H92" i="1" l="1"/>
  <c r="H24" i="1"/>
  <c r="H25" i="1" s="1"/>
  <c r="H45" i="1"/>
  <c r="H15" i="1" s="1"/>
  <c r="I13" i="1" s="1"/>
  <c r="H102" i="4"/>
  <c r="H117" i="4" s="1"/>
  <c r="H118" i="4" s="1"/>
  <c r="H41" i="4" s="1"/>
  <c r="H123" i="4"/>
  <c r="H125" i="4" s="1"/>
  <c r="H131" i="4" s="1"/>
  <c r="H132" i="4" s="1"/>
  <c r="G56" i="2"/>
  <c r="G114" i="2" s="1"/>
  <c r="G26" i="2"/>
  <c r="G14" i="2"/>
  <c r="H70" i="4" l="1"/>
  <c r="H44" i="4"/>
  <c r="I11" i="4"/>
  <c r="H14" i="1"/>
  <c r="H53" i="1" s="1"/>
  <c r="H26" i="1"/>
  <c r="H56" i="1"/>
  <c r="H114" i="1" s="1"/>
  <c r="G53" i="2"/>
  <c r="G58" i="2" s="1"/>
  <c r="G60" i="2" s="1"/>
  <c r="G93" i="2"/>
  <c r="G91" i="2"/>
  <c r="G90" i="2"/>
  <c r="G64" i="2"/>
  <c r="G66" i="2" s="1"/>
  <c r="G79" i="2" s="1"/>
  <c r="G27" i="2"/>
  <c r="H135" i="2" s="1"/>
  <c r="H136" i="2" s="1"/>
  <c r="H111" i="1" l="1"/>
  <c r="H115" i="1" s="1"/>
  <c r="H116" i="1" s="1"/>
  <c r="H118" i="1" s="1"/>
  <c r="H58" i="1"/>
  <c r="H60" i="1" s="1"/>
  <c r="I12" i="4"/>
  <c r="I16" i="4" s="1"/>
  <c r="I86" i="4"/>
  <c r="I87" i="4" s="1"/>
  <c r="H91" i="1"/>
  <c r="H90" i="1"/>
  <c r="H27" i="1"/>
  <c r="I135" i="1" s="1"/>
  <c r="I136" i="1" s="1"/>
  <c r="H64" i="1"/>
  <c r="H66" i="1" s="1"/>
  <c r="H79" i="1" s="1"/>
  <c r="H28" i="1"/>
  <c r="I65" i="1" s="1"/>
  <c r="H93" i="1"/>
  <c r="H48" i="4"/>
  <c r="H49" i="4" s="1"/>
  <c r="H71" i="4"/>
  <c r="H135" i="4" s="1"/>
  <c r="G111" i="2"/>
  <c r="G115" i="2" s="1"/>
  <c r="G116" i="2" s="1"/>
  <c r="G118" i="2" s="1"/>
  <c r="G145" i="2" s="1"/>
  <c r="G147" i="2" s="1"/>
  <c r="G153" i="2" s="1"/>
  <c r="G154" i="2" s="1"/>
  <c r="G84" i="2"/>
  <c r="G80" i="2"/>
  <c r="H150" i="2"/>
  <c r="H151" i="2" s="1"/>
  <c r="H159" i="2" s="1"/>
  <c r="H137" i="2"/>
  <c r="G28" i="2"/>
  <c r="H65" i="2" s="1"/>
  <c r="G67" i="2"/>
  <c r="H138" i="4" l="1"/>
  <c r="H149" i="4"/>
  <c r="H137" i="4"/>
  <c r="H84" i="1"/>
  <c r="H80" i="1"/>
  <c r="H73" i="4"/>
  <c r="I43" i="4"/>
  <c r="I15" i="4" s="1"/>
  <c r="J13" i="4" s="1"/>
  <c r="H124" i="1"/>
  <c r="H139" i="1" s="1"/>
  <c r="H140" i="1" s="1"/>
  <c r="H43" i="1" s="1"/>
  <c r="H145" i="1"/>
  <c r="H147" i="1" s="1"/>
  <c r="H153" i="1" s="1"/>
  <c r="H154" i="1" s="1"/>
  <c r="I137" i="1"/>
  <c r="I150" i="1"/>
  <c r="I151" i="1" s="1"/>
  <c r="H67" i="1"/>
  <c r="G124" i="2"/>
  <c r="G139" i="2" s="1"/>
  <c r="G140" i="2" s="1"/>
  <c r="G43" i="2" s="1"/>
  <c r="H46" i="1" l="1"/>
  <c r="I11" i="1"/>
  <c r="H72" i="1"/>
  <c r="I159" i="1"/>
  <c r="I171" i="1" s="1"/>
  <c r="I182" i="1"/>
  <c r="I192" i="1" s="1"/>
  <c r="I14" i="4"/>
  <c r="I51" i="4" s="1"/>
  <c r="H153" i="4"/>
  <c r="I148" i="4"/>
  <c r="I144" i="4"/>
  <c r="H152" i="4"/>
  <c r="I143" i="4"/>
  <c r="G72" i="2"/>
  <c r="H11" i="2"/>
  <c r="G46" i="2"/>
  <c r="H50" i="1" l="1"/>
  <c r="H73" i="1"/>
  <c r="H83" i="1" s="1"/>
  <c r="I89" i="4"/>
  <c r="I93" i="4" s="1"/>
  <c r="I94" i="4" s="1"/>
  <c r="I96" i="4" s="1"/>
  <c r="I56" i="4"/>
  <c r="I58" i="4" s="1"/>
  <c r="I65" i="4" s="1"/>
  <c r="I12" i="1"/>
  <c r="I108" i="1"/>
  <c r="I109" i="1" s="1"/>
  <c r="G73" i="2"/>
  <c r="G83" i="2" s="1"/>
  <c r="G50" i="2"/>
  <c r="H108" i="2"/>
  <c r="H109" i="2" s="1"/>
  <c r="H12" i="2"/>
  <c r="G75" i="2"/>
  <c r="I16" i="1" l="1"/>
  <c r="I17" i="1"/>
  <c r="I20" i="1" s="1"/>
  <c r="I22" i="1" s="1"/>
  <c r="H97" i="1"/>
  <c r="H85" i="1"/>
  <c r="H75" i="1"/>
  <c r="I102" i="4"/>
  <c r="I117" i="4" s="1"/>
  <c r="I118" i="4" s="1"/>
  <c r="I41" i="4" s="1"/>
  <c r="I123" i="4"/>
  <c r="I125" i="4" s="1"/>
  <c r="I131" i="4" s="1"/>
  <c r="I132" i="4" s="1"/>
  <c r="H117" i="2"/>
  <c r="H16" i="2"/>
  <c r="G101" i="2"/>
  <c r="G76" i="2"/>
  <c r="H96" i="2"/>
  <c r="G100" i="2"/>
  <c r="G86" i="2"/>
  <c r="G97" i="2"/>
  <c r="G85" i="2"/>
  <c r="H20" i="2"/>
  <c r="H22" i="2" s="1"/>
  <c r="H101" i="1" l="1"/>
  <c r="I96" i="1"/>
  <c r="H100" i="1"/>
  <c r="I45" i="1"/>
  <c r="I15" i="1" s="1"/>
  <c r="J13" i="1" s="1"/>
  <c r="I70" i="4"/>
  <c r="J11" i="4"/>
  <c r="I44" i="4"/>
  <c r="I92" i="1"/>
  <c r="I24" i="1"/>
  <c r="I25" i="1" s="1"/>
  <c r="H92" i="2"/>
  <c r="H24" i="2"/>
  <c r="I26" i="1" l="1"/>
  <c r="I56" i="1"/>
  <c r="I114" i="1"/>
  <c r="I48" i="4"/>
  <c r="I49" i="4" s="1"/>
  <c r="I71" i="4"/>
  <c r="I135" i="4" s="1"/>
  <c r="J86" i="4"/>
  <c r="J87" i="4" s="1"/>
  <c r="J12" i="4"/>
  <c r="J16" i="4" s="1"/>
  <c r="I14" i="1"/>
  <c r="H25" i="2"/>
  <c r="H26" i="2" s="1"/>
  <c r="H45" i="2"/>
  <c r="H15" i="2" s="1"/>
  <c r="I13" i="2" s="1"/>
  <c r="I53" i="1" l="1"/>
  <c r="I58" i="1" s="1"/>
  <c r="I60" i="1" s="1"/>
  <c r="I67" i="1" s="1"/>
  <c r="I138" i="4"/>
  <c r="I149" i="4"/>
  <c r="I137" i="4"/>
  <c r="I91" i="1"/>
  <c r="I90" i="1"/>
  <c r="I64" i="1"/>
  <c r="I66" i="1" s="1"/>
  <c r="I79" i="1" s="1"/>
  <c r="I93" i="1"/>
  <c r="I27" i="1"/>
  <c r="J135" i="1" s="1"/>
  <c r="J136" i="1" s="1"/>
  <c r="I28" i="1"/>
  <c r="J65" i="1" s="1"/>
  <c r="J43" i="4"/>
  <c r="J15" i="4" s="1"/>
  <c r="K13" i="4" s="1"/>
  <c r="J14" i="4"/>
  <c r="I73" i="4"/>
  <c r="H14" i="2"/>
  <c r="H90" i="2"/>
  <c r="H93" i="2"/>
  <c r="H91" i="2"/>
  <c r="H64" i="2"/>
  <c r="H66" i="2" s="1"/>
  <c r="H79" i="2" s="1"/>
  <c r="H27" i="2"/>
  <c r="I135" i="2" s="1"/>
  <c r="I136" i="2" s="1"/>
  <c r="H53" i="2"/>
  <c r="H111" i="2" s="1"/>
  <c r="H56" i="2"/>
  <c r="H114" i="2" s="1"/>
  <c r="J51" i="4" l="1"/>
  <c r="J89" i="4"/>
  <c r="J93" i="4" s="1"/>
  <c r="J94" i="4" s="1"/>
  <c r="J96" i="4" s="1"/>
  <c r="I153" i="4"/>
  <c r="J148" i="4"/>
  <c r="I152" i="4"/>
  <c r="J144" i="4"/>
  <c r="J143" i="4"/>
  <c r="J137" i="1"/>
  <c r="J150" i="1"/>
  <c r="J151" i="1" s="1"/>
  <c r="I84" i="1"/>
  <c r="I80" i="1"/>
  <c r="I111" i="1"/>
  <c r="I115" i="1" s="1"/>
  <c r="I116" i="1" s="1"/>
  <c r="I118" i="1" s="1"/>
  <c r="H28" i="2"/>
  <c r="I65" i="2" s="1"/>
  <c r="H115" i="2"/>
  <c r="H116" i="2" s="1"/>
  <c r="H118" i="2" s="1"/>
  <c r="I150" i="2"/>
  <c r="I151" i="2" s="1"/>
  <c r="I159" i="2" s="1"/>
  <c r="I137" i="2"/>
  <c r="H84" i="2"/>
  <c r="H80" i="2"/>
  <c r="H58" i="2"/>
  <c r="H60" i="2" s="1"/>
  <c r="H67" i="2" s="1"/>
  <c r="I124" i="1" l="1"/>
  <c r="I139" i="1" s="1"/>
  <c r="I140" i="1" s="1"/>
  <c r="I43" i="1" s="1"/>
  <c r="I145" i="1"/>
  <c r="I147" i="1" s="1"/>
  <c r="I153" i="1" s="1"/>
  <c r="I154" i="1" s="1"/>
  <c r="J102" i="4"/>
  <c r="J117" i="4" s="1"/>
  <c r="J118" i="4" s="1"/>
  <c r="J41" i="4" s="1"/>
  <c r="J123" i="4"/>
  <c r="J125" i="4" s="1"/>
  <c r="J131" i="4" s="1"/>
  <c r="J132" i="4" s="1"/>
  <c r="J159" i="1"/>
  <c r="J171" i="1" s="1"/>
  <c r="J182" i="1"/>
  <c r="J192" i="1" s="1"/>
  <c r="J56" i="4"/>
  <c r="J58" i="4" s="1"/>
  <c r="J65" i="4" s="1"/>
  <c r="H145" i="2"/>
  <c r="H147" i="2" s="1"/>
  <c r="H153" i="2" s="1"/>
  <c r="H154" i="2" s="1"/>
  <c r="H124" i="2"/>
  <c r="H139" i="2" s="1"/>
  <c r="H140" i="2" s="1"/>
  <c r="J70" i="4" l="1"/>
  <c r="K11" i="4"/>
  <c r="J44" i="4"/>
  <c r="I72" i="1"/>
  <c r="J11" i="1"/>
  <c r="I46" i="1"/>
  <c r="H43" i="2"/>
  <c r="J12" i="1" l="1"/>
  <c r="J108" i="1"/>
  <c r="J109" i="1" s="1"/>
  <c r="J48" i="4"/>
  <c r="J71" i="4"/>
  <c r="J135" i="4" s="1"/>
  <c r="I50" i="1"/>
  <c r="I73" i="1"/>
  <c r="I83" i="1" s="1"/>
  <c r="I75" i="1"/>
  <c r="K86" i="4"/>
  <c r="K87" i="4" s="1"/>
  <c r="K12" i="4"/>
  <c r="K16" i="4" s="1"/>
  <c r="K43" i="4" s="1"/>
  <c r="K15" i="4" s="1"/>
  <c r="K14" i="4" s="1"/>
  <c r="H72" i="2"/>
  <c r="I11" i="2"/>
  <c r="H46" i="2"/>
  <c r="K51" i="4" l="1"/>
  <c r="K56" i="4" s="1"/>
  <c r="K58" i="4" s="1"/>
  <c r="K65" i="4" s="1"/>
  <c r="K89" i="4"/>
  <c r="K93" i="4" s="1"/>
  <c r="K94" i="4" s="1"/>
  <c r="K96" i="4" s="1"/>
  <c r="I101" i="1"/>
  <c r="J96" i="1"/>
  <c r="I100" i="1"/>
  <c r="J138" i="4"/>
  <c r="J137" i="4"/>
  <c r="J149" i="4"/>
  <c r="I97" i="1"/>
  <c r="I85" i="1"/>
  <c r="J73" i="4"/>
  <c r="J16" i="1"/>
  <c r="J17" i="1"/>
  <c r="J20" i="1" s="1"/>
  <c r="J22" i="1" s="1"/>
  <c r="H73" i="2"/>
  <c r="H83" i="2" s="1"/>
  <c r="H50" i="2"/>
  <c r="I108" i="2"/>
  <c r="I109" i="2" s="1"/>
  <c r="I12" i="2"/>
  <c r="H75" i="2"/>
  <c r="J45" i="1" l="1"/>
  <c r="J15" i="1" s="1"/>
  <c r="K13" i="1" s="1"/>
  <c r="J14" i="1"/>
  <c r="K102" i="4"/>
  <c r="K117" i="4" s="1"/>
  <c r="K118" i="4" s="1"/>
  <c r="K41" i="4" s="1"/>
  <c r="K123" i="4"/>
  <c r="K125" i="4" s="1"/>
  <c r="K131" i="4" s="1"/>
  <c r="K132" i="4" s="1"/>
  <c r="J92" i="1"/>
  <c r="J24" i="1"/>
  <c r="J153" i="4"/>
  <c r="K148" i="4"/>
  <c r="J152" i="4"/>
  <c r="K144" i="4"/>
  <c r="K143" i="4"/>
  <c r="I117" i="2"/>
  <c r="I16" i="2"/>
  <c r="H101" i="2"/>
  <c r="H76" i="2"/>
  <c r="I96" i="2"/>
  <c r="H100" i="2"/>
  <c r="H97" i="2"/>
  <c r="H85" i="2"/>
  <c r="H86" i="2"/>
  <c r="I20" i="2"/>
  <c r="I22" i="2" s="1"/>
  <c r="J25" i="1" l="1"/>
  <c r="J56" i="1" s="1"/>
  <c r="J114" i="1" s="1"/>
  <c r="J26" i="1"/>
  <c r="J53" i="1"/>
  <c r="J58" i="1" s="1"/>
  <c r="J60" i="1" s="1"/>
  <c r="K44" i="4"/>
  <c r="K70" i="4"/>
  <c r="I45" i="2"/>
  <c r="I15" i="2" s="1"/>
  <c r="J13" i="2" s="1"/>
  <c r="I92" i="2"/>
  <c r="I24" i="2"/>
  <c r="J111" i="1" l="1"/>
  <c r="J115" i="1" s="1"/>
  <c r="J116" i="1" s="1"/>
  <c r="J118" i="1" s="1"/>
  <c r="J91" i="1"/>
  <c r="J64" i="1"/>
  <c r="J66" i="1" s="1"/>
  <c r="J79" i="1" s="1"/>
  <c r="J90" i="1"/>
  <c r="J27" i="1"/>
  <c r="K135" i="1" s="1"/>
  <c r="K136" i="1" s="1"/>
  <c r="J93" i="1"/>
  <c r="J28" i="1"/>
  <c r="K65" i="1" s="1"/>
  <c r="K48" i="4"/>
  <c r="K71" i="4"/>
  <c r="K135" i="4" s="1"/>
  <c r="J67" i="1"/>
  <c r="I25" i="2"/>
  <c r="I14" i="2"/>
  <c r="K138" i="4" l="1"/>
  <c r="K149" i="4"/>
  <c r="K137" i="4"/>
  <c r="K150" i="1"/>
  <c r="K151" i="1" s="1"/>
  <c r="K137" i="1"/>
  <c r="J80" i="1"/>
  <c r="J84" i="1"/>
  <c r="J145" i="1"/>
  <c r="J147" i="1" s="1"/>
  <c r="J153" i="1" s="1"/>
  <c r="J154" i="1" s="1"/>
  <c r="J124" i="1"/>
  <c r="J139" i="1" s="1"/>
  <c r="J140" i="1" s="1"/>
  <c r="J43" i="1" s="1"/>
  <c r="K73" i="4"/>
  <c r="I53" i="2"/>
  <c r="I111" i="2" s="1"/>
  <c r="I56" i="2"/>
  <c r="I114" i="2" s="1"/>
  <c r="I26" i="2"/>
  <c r="J72" i="1" l="1"/>
  <c r="J46" i="1"/>
  <c r="K11" i="1"/>
  <c r="K153" i="4"/>
  <c r="K152" i="4"/>
  <c r="K159" i="1"/>
  <c r="K182" i="1"/>
  <c r="I93" i="2"/>
  <c r="I91" i="2"/>
  <c r="I90" i="2"/>
  <c r="I64" i="2"/>
  <c r="I66" i="2" s="1"/>
  <c r="I79" i="2" s="1"/>
  <c r="I27" i="2"/>
  <c r="J135" i="2" s="1"/>
  <c r="J136" i="2" s="1"/>
  <c r="I115" i="2"/>
  <c r="I116" i="2" s="1"/>
  <c r="I118" i="2" s="1"/>
  <c r="I58" i="2"/>
  <c r="I60" i="2" s="1"/>
  <c r="J50" i="1" l="1"/>
  <c r="J73" i="1"/>
  <c r="J83" i="1" s="1"/>
  <c r="K12" i="1"/>
  <c r="K108" i="1"/>
  <c r="K109" i="1" s="1"/>
  <c r="I145" i="2"/>
  <c r="I147" i="2" s="1"/>
  <c r="I153" i="2" s="1"/>
  <c r="I154" i="2" s="1"/>
  <c r="I124" i="2"/>
  <c r="I139" i="2" s="1"/>
  <c r="I140" i="2" s="1"/>
  <c r="I84" i="2"/>
  <c r="I80" i="2"/>
  <c r="J150" i="2"/>
  <c r="J151" i="2" s="1"/>
  <c r="J159" i="2" s="1"/>
  <c r="J137" i="2"/>
  <c r="I67" i="2"/>
  <c r="I28" i="2"/>
  <c r="J65" i="2" s="1"/>
  <c r="J85" i="1" l="1"/>
  <c r="J97" i="1"/>
  <c r="J75" i="1"/>
  <c r="K16" i="1"/>
  <c r="K45" i="1" s="1"/>
  <c r="K15" i="1" s="1"/>
  <c r="K14" i="1" s="1"/>
  <c r="K17" i="1"/>
  <c r="K20" i="1" s="1"/>
  <c r="K22" i="1" s="1"/>
  <c r="I43" i="2"/>
  <c r="K167" i="1" l="1"/>
  <c r="K168" i="1" s="1"/>
  <c r="K169" i="1" s="1"/>
  <c r="K171" i="1" s="1"/>
  <c r="K92" i="1"/>
  <c r="K24" i="1"/>
  <c r="J101" i="1"/>
  <c r="K96" i="1"/>
  <c r="J100" i="1"/>
  <c r="K53" i="1"/>
  <c r="I72" i="2"/>
  <c r="J11" i="2"/>
  <c r="I46" i="2"/>
  <c r="K58" i="1" l="1"/>
  <c r="K60" i="1" s="1"/>
  <c r="K25" i="1"/>
  <c r="K56" i="1" s="1"/>
  <c r="K114" i="1" s="1"/>
  <c r="K26" i="1"/>
  <c r="B173" i="1"/>
  <c r="B176" i="1" s="1"/>
  <c r="B177" i="1" s="1"/>
  <c r="C173" i="1"/>
  <c r="K111" i="1"/>
  <c r="K115" i="1" s="1"/>
  <c r="K116" i="1" s="1"/>
  <c r="K118" i="1" s="1"/>
  <c r="I73" i="2"/>
  <c r="I83" i="2" s="1"/>
  <c r="I50" i="2"/>
  <c r="J108" i="2"/>
  <c r="J109" i="2" s="1"/>
  <c r="J12" i="2"/>
  <c r="I75" i="2"/>
  <c r="K145" i="1" l="1"/>
  <c r="K147" i="1" s="1"/>
  <c r="K153" i="1" s="1"/>
  <c r="K154" i="1" s="1"/>
  <c r="K124" i="1"/>
  <c r="K139" i="1" s="1"/>
  <c r="K140" i="1" s="1"/>
  <c r="K43" i="1" s="1"/>
  <c r="K91" i="1"/>
  <c r="K90" i="1"/>
  <c r="K64" i="1"/>
  <c r="K66" i="1" s="1"/>
  <c r="K27" i="1"/>
  <c r="K28" i="1" s="1"/>
  <c r="K67" i="1"/>
  <c r="J117" i="2"/>
  <c r="J16" i="2"/>
  <c r="I101" i="2"/>
  <c r="I76" i="2"/>
  <c r="J96" i="2"/>
  <c r="I100" i="2"/>
  <c r="I86" i="2"/>
  <c r="I97" i="2"/>
  <c r="I85" i="2"/>
  <c r="J20" i="2"/>
  <c r="J22" i="2" s="1"/>
  <c r="K93" i="1" l="1"/>
  <c r="K79" i="1"/>
  <c r="K72" i="1"/>
  <c r="K46" i="1"/>
  <c r="J45" i="2"/>
  <c r="J15" i="2" s="1"/>
  <c r="K13" i="2" s="1"/>
  <c r="J92" i="2"/>
  <c r="J24" i="2"/>
  <c r="K75" i="1" l="1"/>
  <c r="K73" i="1"/>
  <c r="K83" i="1" s="1"/>
  <c r="K50" i="1"/>
  <c r="K84" i="1"/>
  <c r="K80" i="1"/>
  <c r="J25" i="2"/>
  <c r="J26" i="2" s="1"/>
  <c r="J14" i="2"/>
  <c r="K101" i="1" l="1"/>
  <c r="K190" i="1"/>
  <c r="K192" i="1" s="1"/>
  <c r="B194" i="1" s="1"/>
  <c r="K100" i="1"/>
  <c r="K97" i="1"/>
  <c r="K85" i="1"/>
  <c r="J53" i="2"/>
  <c r="J111" i="2" s="1"/>
  <c r="J90" i="2"/>
  <c r="J178" i="2"/>
  <c r="J93" i="2"/>
  <c r="J91" i="2"/>
  <c r="J64" i="2"/>
  <c r="J66" i="2" s="1"/>
  <c r="J79" i="2" s="1"/>
  <c r="J27" i="2"/>
  <c r="K135" i="2" s="1"/>
  <c r="K136" i="2" s="1"/>
  <c r="J56" i="2"/>
  <c r="J114" i="2" s="1"/>
  <c r="J28" i="2" l="1"/>
  <c r="K65" i="2" s="1"/>
  <c r="J84" i="2"/>
  <c r="J80" i="2"/>
  <c r="K150" i="2"/>
  <c r="K151" i="2" s="1"/>
  <c r="K159" i="2" s="1"/>
  <c r="K137" i="2"/>
  <c r="J115" i="2"/>
  <c r="J116" i="2" s="1"/>
  <c r="J118" i="2" s="1"/>
  <c r="J58" i="2"/>
  <c r="J60" i="2" s="1"/>
  <c r="J67" i="2" s="1"/>
  <c r="J145" i="2" l="1"/>
  <c r="J147" i="2" s="1"/>
  <c r="J153" i="2" s="1"/>
  <c r="J154" i="2" s="1"/>
  <c r="J124" i="2"/>
  <c r="J139" i="2" s="1"/>
  <c r="J140" i="2" s="1"/>
  <c r="J43" i="2" l="1"/>
  <c r="K11" i="2" l="1"/>
  <c r="J72" i="2"/>
  <c r="J46" i="2"/>
  <c r="J73" i="2" l="1"/>
  <c r="J50" i="2"/>
  <c r="K108" i="2"/>
  <c r="K109" i="2" s="1"/>
  <c r="K12" i="2"/>
  <c r="J75" i="2"/>
  <c r="J181" i="2"/>
  <c r="K117" i="2" l="1"/>
  <c r="K16" i="2"/>
  <c r="J83" i="2"/>
  <c r="J182" i="2"/>
  <c r="J184" i="2" s="1"/>
  <c r="J196" i="2" s="1"/>
  <c r="J101" i="2"/>
  <c r="J76" i="2"/>
  <c r="K96" i="2"/>
  <c r="J100" i="2"/>
  <c r="K20" i="2"/>
  <c r="K22" i="2" s="1"/>
  <c r="K192" i="2" l="1"/>
  <c r="K193" i="2" s="1"/>
  <c r="K194" i="2" s="1"/>
  <c r="K92" i="2"/>
  <c r="K24" i="2"/>
  <c r="J86" i="2"/>
  <c r="J97" i="2"/>
  <c r="J85" i="2"/>
  <c r="K45" i="2" l="1"/>
  <c r="K15" i="2" s="1"/>
  <c r="K14" i="2" s="1"/>
  <c r="K25" i="2"/>
  <c r="K26" i="2" s="1"/>
  <c r="K178" i="2" l="1"/>
  <c r="K93" i="2"/>
  <c r="K91" i="2"/>
  <c r="K90" i="2"/>
  <c r="K64" i="2"/>
  <c r="K66" i="2" s="1"/>
  <c r="K79" i="2" s="1"/>
  <c r="K27" i="2"/>
  <c r="K28" i="2" s="1"/>
  <c r="K53" i="2"/>
  <c r="K56" i="2"/>
  <c r="K114" i="2" s="1"/>
  <c r="K80" i="2" l="1"/>
  <c r="K84" i="2"/>
  <c r="K58" i="2"/>
  <c r="K60" i="2" s="1"/>
  <c r="K67" i="2" s="1"/>
  <c r="K111" i="2"/>
  <c r="K115" i="2" s="1"/>
  <c r="K116" i="2" s="1"/>
  <c r="K118" i="2" s="1"/>
  <c r="K145" i="2" l="1"/>
  <c r="K147" i="2" s="1"/>
  <c r="K153" i="2" s="1"/>
  <c r="K154" i="2" s="1"/>
  <c r="K124" i="2"/>
  <c r="K139" i="2" s="1"/>
  <c r="K140" i="2" s="1"/>
  <c r="K43" i="2" s="1"/>
  <c r="K72" i="2" l="1"/>
  <c r="K46" i="2"/>
  <c r="K181" i="2" l="1"/>
  <c r="K73" i="2"/>
  <c r="K50" i="2"/>
  <c r="K83" i="2" l="1"/>
  <c r="K182" i="2"/>
  <c r="K184" i="2" s="1"/>
  <c r="K196" i="2" s="1"/>
  <c r="K75" i="2"/>
  <c r="K86" i="2" l="1"/>
  <c r="K97" i="2"/>
  <c r="K85" i="2"/>
  <c r="K101" i="2"/>
  <c r="K76" i="2"/>
  <c r="K100" i="2"/>
  <c r="B87" i="5"/>
  <c r="B12" i="5"/>
  <c r="B16" i="5"/>
  <c r="B43" i="5" s="1"/>
  <c r="B15" i="5" s="1"/>
  <c r="C13" i="5" s="1"/>
  <c r="B17" i="5"/>
  <c r="B20" i="5"/>
  <c r="B22" i="5" s="1"/>
  <c r="B24" i="5" s="1"/>
  <c r="B25" i="5" s="1"/>
  <c r="B26" i="5" s="1"/>
  <c r="B142" i="5" s="1"/>
  <c r="B54" i="5" l="1"/>
  <c r="B14" i="5"/>
  <c r="B62" i="5"/>
  <c r="B64" i="5" s="1"/>
  <c r="B27" i="5"/>
  <c r="C113" i="5" s="1"/>
  <c r="C114" i="5" s="1"/>
  <c r="B175" i="5" l="1"/>
  <c r="B77" i="5"/>
  <c r="C115" i="5"/>
  <c r="C128" i="5"/>
  <c r="C129" i="5" s="1"/>
  <c r="C158" i="5" s="1"/>
  <c r="C169" i="5" s="1"/>
  <c r="B92" i="5"/>
  <c r="B28" i="5"/>
  <c r="C63" i="5" s="1"/>
  <c r="B51" i="5"/>
  <c r="B89" i="5" s="1"/>
  <c r="B78" i="5" l="1"/>
  <c r="B136" i="5"/>
  <c r="B93" i="5"/>
  <c r="B94" i="5" s="1"/>
  <c r="B96" i="5" s="1"/>
  <c r="B56" i="5"/>
  <c r="B58" i="5" s="1"/>
  <c r="B65" i="5" s="1"/>
  <c r="B102" i="5" l="1"/>
  <c r="B117" i="5" s="1"/>
  <c r="B118" i="5" s="1"/>
  <c r="B41" i="5" s="1"/>
  <c r="B44" i="5" s="1"/>
  <c r="B71" i="5" s="1"/>
  <c r="B135" i="5" s="1"/>
  <c r="B137" i="5" s="1"/>
  <c r="B70" i="5" s="1"/>
  <c r="B73" i="5" s="1"/>
  <c r="B123" i="5"/>
  <c r="B125" i="5" s="1"/>
  <c r="B131" i="5" s="1"/>
  <c r="B132" i="5" s="1"/>
  <c r="B153" i="5" l="1"/>
  <c r="C148" i="5"/>
  <c r="B152" i="5"/>
  <c r="B149" i="5"/>
  <c r="B48" i="5"/>
  <c r="C11" i="5"/>
  <c r="C86" i="5" l="1"/>
  <c r="C87" i="5" s="1"/>
  <c r="C12" i="5"/>
  <c r="C16" i="5" l="1"/>
  <c r="C17" i="5"/>
  <c r="C20" i="5" s="1"/>
  <c r="C22" i="5" s="1"/>
  <c r="C24" i="5" l="1"/>
  <c r="C144" i="5"/>
  <c r="C43" i="5"/>
  <c r="C15" i="5" s="1"/>
  <c r="D13" i="5" s="1"/>
  <c r="C25" i="5"/>
  <c r="C14" i="5" l="1"/>
  <c r="C51" i="5" s="1"/>
  <c r="C89" i="5" s="1"/>
  <c r="C93" i="5" s="1"/>
  <c r="C94" i="5" s="1"/>
  <c r="C96" i="5" s="1"/>
  <c r="C54" i="5"/>
  <c r="C92" i="5"/>
  <c r="C26" i="5"/>
  <c r="C145" i="5" l="1"/>
  <c r="C142" i="5"/>
  <c r="C143" i="5"/>
  <c r="C102" i="5"/>
  <c r="C117" i="5" s="1"/>
  <c r="C118" i="5" s="1"/>
  <c r="C123" i="5"/>
  <c r="C125" i="5" s="1"/>
  <c r="C131" i="5" s="1"/>
  <c r="C132" i="5" s="1"/>
  <c r="C27" i="5"/>
  <c r="D113" i="5" s="1"/>
  <c r="D114" i="5" s="1"/>
  <c r="C28" i="5"/>
  <c r="D63" i="5" s="1"/>
  <c r="C62" i="5"/>
  <c r="C64" i="5" s="1"/>
  <c r="C77" i="5" s="1"/>
  <c r="C56" i="5"/>
  <c r="C58" i="5" s="1"/>
  <c r="C136" i="5" l="1"/>
  <c r="C78" i="5"/>
  <c r="D115" i="5"/>
  <c r="D128" i="5"/>
  <c r="D129" i="5" s="1"/>
  <c r="D158" i="5" s="1"/>
  <c r="D169" i="5" s="1"/>
  <c r="C41" i="5"/>
  <c r="C65" i="5"/>
  <c r="C44" i="5" l="1"/>
  <c r="D11" i="5"/>
  <c r="C48" i="5" l="1"/>
  <c r="C71" i="5"/>
  <c r="C135" i="5" s="1"/>
  <c r="D86" i="5"/>
  <c r="D87" i="5" s="1"/>
  <c r="D12" i="5"/>
  <c r="C149" i="5" l="1"/>
  <c r="C137" i="5"/>
  <c r="C70" i="5" s="1"/>
  <c r="C73" i="5" s="1"/>
  <c r="D17" i="5"/>
  <c r="D20" i="5" s="1"/>
  <c r="D22" i="5" s="1"/>
  <c r="D16" i="5"/>
  <c r="D24" i="5" l="1"/>
  <c r="D25" i="5" s="1"/>
  <c r="D26" i="5" s="1"/>
  <c r="D144" i="5"/>
  <c r="C153" i="5"/>
  <c r="C152" i="5"/>
  <c r="D148" i="5"/>
  <c r="D43" i="5"/>
  <c r="D15" i="5" s="1"/>
  <c r="E13" i="5" s="1"/>
  <c r="D14" i="5"/>
  <c r="D145" i="5" l="1"/>
  <c r="D142" i="5"/>
  <c r="D143" i="5"/>
  <c r="D62" i="5"/>
  <c r="D64" i="5" s="1"/>
  <c r="D77" i="5" s="1"/>
  <c r="D27" i="5"/>
  <c r="E113" i="5" s="1"/>
  <c r="E114" i="5" s="1"/>
  <c r="D51" i="5"/>
  <c r="D89" i="5" s="1"/>
  <c r="D54" i="5"/>
  <c r="D136" i="5" l="1"/>
  <c r="D78" i="5"/>
  <c r="E115" i="5"/>
  <c r="E128" i="5"/>
  <c r="E129" i="5" s="1"/>
  <c r="E158" i="5" s="1"/>
  <c r="E169" i="5" s="1"/>
  <c r="D92" i="5"/>
  <c r="D93" i="5" s="1"/>
  <c r="D94" i="5" s="1"/>
  <c r="D96" i="5" s="1"/>
  <c r="D28" i="5"/>
  <c r="D56" i="5"/>
  <c r="D58" i="5" s="1"/>
  <c r="D65" i="5" l="1"/>
  <c r="E63" i="5"/>
  <c r="D102" i="5"/>
  <c r="D117" i="5" s="1"/>
  <c r="D118" i="5" s="1"/>
  <c r="D41" i="5" s="1"/>
  <c r="D123" i="5"/>
  <c r="D125" i="5" s="1"/>
  <c r="D131" i="5" s="1"/>
  <c r="D132" i="5" s="1"/>
  <c r="E11" i="5" l="1"/>
  <c r="D44" i="5"/>
  <c r="D48" i="5" l="1"/>
  <c r="D71" i="5"/>
  <c r="D135" i="5" s="1"/>
  <c r="E12" i="5"/>
  <c r="E86" i="5"/>
  <c r="E87" i="5" s="1"/>
  <c r="D137" i="5" l="1"/>
  <c r="D70" i="5" s="1"/>
  <c r="D73" i="5" s="1"/>
  <c r="D149" i="5"/>
  <c r="E16" i="5"/>
  <c r="E17" i="5"/>
  <c r="E20" i="5" s="1"/>
  <c r="E22" i="5" s="1"/>
  <c r="D153" i="5" l="1"/>
  <c r="D152" i="5"/>
  <c r="E148" i="5"/>
  <c r="E24" i="5"/>
  <c r="E144" i="5"/>
  <c r="E25" i="5"/>
  <c r="E26" i="5"/>
  <c r="E43" i="5"/>
  <c r="E15" i="5" s="1"/>
  <c r="F13" i="5" s="1"/>
  <c r="E14" i="5"/>
  <c r="E143" i="5" l="1"/>
  <c r="E145" i="5"/>
  <c r="E142" i="5"/>
  <c r="E51" i="5"/>
  <c r="E89" i="5"/>
  <c r="E27" i="5"/>
  <c r="F113" i="5" s="1"/>
  <c r="F114" i="5" s="1"/>
  <c r="E62" i="5"/>
  <c r="E64" i="5" s="1"/>
  <c r="E77" i="5" s="1"/>
  <c r="E28" i="5"/>
  <c r="F63" i="5" s="1"/>
  <c r="E54" i="5"/>
  <c r="E136" i="5" l="1"/>
  <c r="E78" i="5"/>
  <c r="F115" i="5"/>
  <c r="F128" i="5"/>
  <c r="F129" i="5" s="1"/>
  <c r="F158" i="5" s="1"/>
  <c r="F169" i="5" s="1"/>
  <c r="E56" i="5"/>
  <c r="E58" i="5" s="1"/>
  <c r="E65" i="5" s="1"/>
  <c r="E92" i="5"/>
  <c r="E93" i="5" s="1"/>
  <c r="E94" i="5" s="1"/>
  <c r="E96" i="5" s="1"/>
  <c r="E102" i="5" l="1"/>
  <c r="E117" i="5" s="1"/>
  <c r="E118" i="5" s="1"/>
  <c r="E41" i="5" s="1"/>
  <c r="E123" i="5"/>
  <c r="E125" i="5" s="1"/>
  <c r="E131" i="5" s="1"/>
  <c r="E132" i="5" s="1"/>
  <c r="E44" i="5" l="1"/>
  <c r="F11" i="5"/>
  <c r="E48" i="5" l="1"/>
  <c r="E71" i="5"/>
  <c r="E135" i="5" s="1"/>
  <c r="F86" i="5"/>
  <c r="F87" i="5" s="1"/>
  <c r="F12" i="5"/>
  <c r="E149" i="5" l="1"/>
  <c r="E137" i="5"/>
  <c r="E70" i="5" s="1"/>
  <c r="E73" i="5" s="1"/>
  <c r="F17" i="5"/>
  <c r="F20" i="5" s="1"/>
  <c r="F22" i="5" s="1"/>
  <c r="F16" i="5"/>
  <c r="F24" i="5" l="1"/>
  <c r="F25" i="5" s="1"/>
  <c r="F144" i="5"/>
  <c r="E153" i="5"/>
  <c r="E152" i="5"/>
  <c r="F148" i="5"/>
  <c r="F43" i="5"/>
  <c r="F15" i="5" s="1"/>
  <c r="G13" i="5" s="1"/>
  <c r="F14" i="5"/>
  <c r="F54" i="5" l="1"/>
  <c r="F92" i="5" s="1"/>
  <c r="F51" i="5"/>
  <c r="F89" i="5" s="1"/>
  <c r="F26" i="5"/>
  <c r="F93" i="5" l="1"/>
  <c r="F94" i="5" s="1"/>
  <c r="F96" i="5" s="1"/>
  <c r="F123" i="5" s="1"/>
  <c r="F125" i="5" s="1"/>
  <c r="F131" i="5" s="1"/>
  <c r="F132" i="5" s="1"/>
  <c r="F145" i="5"/>
  <c r="F142" i="5"/>
  <c r="F143" i="5"/>
  <c r="F102" i="5"/>
  <c r="F117" i="5" s="1"/>
  <c r="F118" i="5" s="1"/>
  <c r="F41" i="5" s="1"/>
  <c r="F62" i="5"/>
  <c r="F27" i="5"/>
  <c r="G113" i="5" s="1"/>
  <c r="G114" i="5" s="1"/>
  <c r="F56" i="5"/>
  <c r="F58" i="5" s="1"/>
  <c r="F28" i="5" l="1"/>
  <c r="F44" i="5"/>
  <c r="G11" i="5"/>
  <c r="G115" i="5"/>
  <c r="G128" i="5"/>
  <c r="G129" i="5" s="1"/>
  <c r="G158" i="5" s="1"/>
  <c r="G169" i="5" s="1"/>
  <c r="F64" i="5" l="1"/>
  <c r="G63" i="5"/>
  <c r="F48" i="5"/>
  <c r="F71" i="5"/>
  <c r="F135" i="5" s="1"/>
  <c r="G12" i="5"/>
  <c r="G86" i="5"/>
  <c r="G87" i="5" s="1"/>
  <c r="F65" i="5" l="1"/>
  <c r="F77" i="5"/>
  <c r="G17" i="5"/>
  <c r="G20" i="5" s="1"/>
  <c r="G22" i="5" s="1"/>
  <c r="G16" i="5"/>
  <c r="G24" i="5" l="1"/>
  <c r="G25" i="5" s="1"/>
  <c r="F136" i="5"/>
  <c r="F78" i="5"/>
  <c r="G43" i="5"/>
  <c r="G15" i="5" s="1"/>
  <c r="H13" i="5" s="1"/>
  <c r="F149" i="5" l="1"/>
  <c r="F137" i="5"/>
  <c r="F70" i="5" s="1"/>
  <c r="F73" i="5" s="1"/>
  <c r="G14" i="5"/>
  <c r="G54" i="5"/>
  <c r="G51" i="5"/>
  <c r="G26" i="5"/>
  <c r="G143" i="5" l="1"/>
  <c r="G142" i="5"/>
  <c r="G145" i="5"/>
  <c r="F153" i="5"/>
  <c r="F152" i="5"/>
  <c r="G148" i="5"/>
  <c r="G144" i="5"/>
  <c r="G27" i="5"/>
  <c r="H113" i="5" s="1"/>
  <c r="H114" i="5" s="1"/>
  <c r="G62" i="5"/>
  <c r="G28" i="5"/>
  <c r="H63" i="5" s="1"/>
  <c r="G56" i="5"/>
  <c r="G58" i="5" s="1"/>
  <c r="G89" i="5"/>
  <c r="G92" i="5"/>
  <c r="G64" i="5" l="1"/>
  <c r="H115" i="5"/>
  <c r="H128" i="5"/>
  <c r="H129" i="5" s="1"/>
  <c r="H158" i="5" s="1"/>
  <c r="H169" i="5" s="1"/>
  <c r="G93" i="5"/>
  <c r="G94" i="5" s="1"/>
  <c r="G96" i="5" s="1"/>
  <c r="G65" i="5" l="1"/>
  <c r="G77" i="5"/>
  <c r="G102" i="5"/>
  <c r="G117" i="5" s="1"/>
  <c r="G118" i="5" s="1"/>
  <c r="G41" i="5" s="1"/>
  <c r="G123" i="5"/>
  <c r="G125" i="5" s="1"/>
  <c r="G131" i="5" s="1"/>
  <c r="G132" i="5" s="1"/>
  <c r="G136" i="5" l="1"/>
  <c r="G78" i="5"/>
  <c r="G44" i="5"/>
  <c r="H11" i="5"/>
  <c r="G48" i="5" l="1"/>
  <c r="G71" i="5"/>
  <c r="G135" i="5" s="1"/>
  <c r="G137" i="5"/>
  <c r="G70" i="5" s="1"/>
  <c r="G73" i="5" s="1"/>
  <c r="G149" i="5"/>
  <c r="H86" i="5"/>
  <c r="H87" i="5" s="1"/>
  <c r="H12" i="5"/>
  <c r="G153" i="5" l="1"/>
  <c r="G152" i="5"/>
  <c r="H148" i="5"/>
  <c r="H17" i="5"/>
  <c r="H20" i="5" s="1"/>
  <c r="H22" i="5" s="1"/>
  <c r="H16" i="5"/>
  <c r="H24" i="5" l="1"/>
  <c r="H25" i="5" s="1"/>
  <c r="H144" i="5"/>
  <c r="H43" i="5"/>
  <c r="H15" i="5" s="1"/>
  <c r="I13" i="5" s="1"/>
  <c r="H14" i="5" l="1"/>
  <c r="H51" i="5" s="1"/>
  <c r="H89" i="5" s="1"/>
  <c r="H54" i="5"/>
  <c r="H92" i="5"/>
  <c r="H26" i="5"/>
  <c r="H145" i="5" l="1"/>
  <c r="H142" i="5"/>
  <c r="H143" i="5"/>
  <c r="H93" i="5"/>
  <c r="H94" i="5" s="1"/>
  <c r="H96" i="5" s="1"/>
  <c r="H102" i="5" s="1"/>
  <c r="H117" i="5" s="1"/>
  <c r="H118" i="5" s="1"/>
  <c r="H41" i="5" s="1"/>
  <c r="H123" i="5"/>
  <c r="H125" i="5" s="1"/>
  <c r="H131" i="5" s="1"/>
  <c r="H132" i="5" s="1"/>
  <c r="H62" i="5"/>
  <c r="H27" i="5"/>
  <c r="I113" i="5" s="1"/>
  <c r="I114" i="5" s="1"/>
  <c r="H56" i="5"/>
  <c r="H58" i="5" s="1"/>
  <c r="I115" i="5" l="1"/>
  <c r="I128" i="5"/>
  <c r="I129" i="5" s="1"/>
  <c r="I158" i="5" s="1"/>
  <c r="I169" i="5" s="1"/>
  <c r="I11" i="5"/>
  <c r="H44" i="5"/>
  <c r="H28" i="5"/>
  <c r="I63" i="5" s="1"/>
  <c r="H64" i="5"/>
  <c r="H65" i="5" l="1"/>
  <c r="H77" i="5"/>
  <c r="H48" i="5"/>
  <c r="H71" i="5"/>
  <c r="H135" i="5" s="1"/>
  <c r="I12" i="5"/>
  <c r="I86" i="5"/>
  <c r="I87" i="5" s="1"/>
  <c r="H136" i="5" l="1"/>
  <c r="H78" i="5"/>
  <c r="I16" i="5"/>
  <c r="I17" i="5"/>
  <c r="I20" i="5" s="1"/>
  <c r="I22" i="5" s="1"/>
  <c r="H149" i="5" l="1"/>
  <c r="H137" i="5"/>
  <c r="H70" i="5" s="1"/>
  <c r="H73" i="5" s="1"/>
  <c r="I24" i="5"/>
  <c r="I25" i="5" s="1"/>
  <c r="I26" i="5" s="1"/>
  <c r="I144" i="5"/>
  <c r="I43" i="5"/>
  <c r="I15" i="5" s="1"/>
  <c r="J13" i="5" s="1"/>
  <c r="I143" i="5" l="1"/>
  <c r="I145" i="5"/>
  <c r="I142" i="5"/>
  <c r="H153" i="5"/>
  <c r="H152" i="5"/>
  <c r="I148" i="5"/>
  <c r="I27" i="5"/>
  <c r="J113" i="5" s="1"/>
  <c r="J114" i="5" s="1"/>
  <c r="I62" i="5"/>
  <c r="I28" i="5"/>
  <c r="J63" i="5" s="1"/>
  <c r="I54" i="5"/>
  <c r="I92" i="5" s="1"/>
  <c r="I14" i="5"/>
  <c r="J115" i="5" l="1"/>
  <c r="J128" i="5"/>
  <c r="J129" i="5" s="1"/>
  <c r="J158" i="5" s="1"/>
  <c r="J169" i="5" s="1"/>
  <c r="I51" i="5"/>
  <c r="I64" i="5"/>
  <c r="I77" i="5" s="1"/>
  <c r="I136" i="5" l="1"/>
  <c r="I78" i="5"/>
  <c r="I56" i="5"/>
  <c r="I58" i="5" s="1"/>
  <c r="I65" i="5" s="1"/>
  <c r="I89" i="5"/>
  <c r="I93" i="5" s="1"/>
  <c r="I94" i="5" s="1"/>
  <c r="I96" i="5" s="1"/>
  <c r="I102" i="5" l="1"/>
  <c r="I117" i="5" s="1"/>
  <c r="I118" i="5" s="1"/>
  <c r="I41" i="5" s="1"/>
  <c r="I123" i="5"/>
  <c r="I125" i="5" s="1"/>
  <c r="I131" i="5" s="1"/>
  <c r="I132" i="5" s="1"/>
  <c r="J11" i="5" l="1"/>
  <c r="I44" i="5"/>
  <c r="I48" i="5" l="1"/>
  <c r="I71" i="5"/>
  <c r="I135" i="5" s="1"/>
  <c r="J86" i="5"/>
  <c r="J87" i="5" s="1"/>
  <c r="J12" i="5"/>
  <c r="I149" i="5" l="1"/>
  <c r="I137" i="5"/>
  <c r="I70" i="5" s="1"/>
  <c r="I73" i="5" s="1"/>
  <c r="J17" i="5"/>
  <c r="J20" i="5" s="1"/>
  <c r="J22" i="5" s="1"/>
  <c r="J16" i="5"/>
  <c r="J24" i="5" l="1"/>
  <c r="J25" i="5" s="1"/>
  <c r="J26" i="5" s="1"/>
  <c r="J144" i="5"/>
  <c r="I153" i="5"/>
  <c r="I152" i="5"/>
  <c r="J148" i="5"/>
  <c r="J43" i="5"/>
  <c r="J15" i="5" s="1"/>
  <c r="K13" i="5" s="1"/>
  <c r="J145" i="5" l="1"/>
  <c r="J142" i="5"/>
  <c r="J143" i="5"/>
  <c r="J27" i="5"/>
  <c r="K113" i="5" s="1"/>
  <c r="K114" i="5" s="1"/>
  <c r="J62" i="5"/>
  <c r="J28" i="5"/>
  <c r="K63" i="5" s="1"/>
  <c r="J54" i="5"/>
  <c r="J92" i="5" s="1"/>
  <c r="J14" i="5"/>
  <c r="K115" i="5" l="1"/>
  <c r="K128" i="5"/>
  <c r="K129" i="5" s="1"/>
  <c r="K158" i="5" s="1"/>
  <c r="J51" i="5"/>
  <c r="J89" i="5" s="1"/>
  <c r="J93" i="5" s="1"/>
  <c r="J94" i="5" s="1"/>
  <c r="J96" i="5" s="1"/>
  <c r="J64" i="5"/>
  <c r="J77" i="5" s="1"/>
  <c r="J136" i="5" l="1"/>
  <c r="J78" i="5"/>
  <c r="J102" i="5"/>
  <c r="J117" i="5" s="1"/>
  <c r="J118" i="5" s="1"/>
  <c r="J41" i="5" s="1"/>
  <c r="J123" i="5"/>
  <c r="J125" i="5" s="1"/>
  <c r="J131" i="5" s="1"/>
  <c r="J132" i="5" s="1"/>
  <c r="J56" i="5"/>
  <c r="J58" i="5" s="1"/>
  <c r="J65" i="5" s="1"/>
  <c r="J44" i="5" l="1"/>
  <c r="K11" i="5"/>
  <c r="J48" i="5" l="1"/>
  <c r="J71" i="5"/>
  <c r="J135" i="5" s="1"/>
  <c r="K12" i="5"/>
  <c r="K86" i="5"/>
  <c r="K87" i="5" s="1"/>
  <c r="J137" i="5" l="1"/>
  <c r="J70" i="5" s="1"/>
  <c r="J73" i="5" s="1"/>
  <c r="J149" i="5"/>
  <c r="K16" i="5"/>
  <c r="K43" i="5" s="1"/>
  <c r="K15" i="5" s="1"/>
  <c r="K14" i="5" s="1"/>
  <c r="K17" i="5"/>
  <c r="K20" i="5" s="1"/>
  <c r="K22" i="5" s="1"/>
  <c r="J153" i="5" l="1"/>
  <c r="J152" i="5"/>
  <c r="K148" i="5"/>
  <c r="K24" i="5"/>
  <c r="K165" i="5"/>
  <c r="K144" i="5"/>
  <c r="K25" i="5"/>
  <c r="K26" i="5" s="1"/>
  <c r="K51" i="5"/>
  <c r="K89" i="5" s="1"/>
  <c r="K143" i="5" l="1"/>
  <c r="K142" i="5"/>
  <c r="K145" i="5"/>
  <c r="K166" i="5"/>
  <c r="K167" i="5" s="1"/>
  <c r="K169" i="5" s="1"/>
  <c r="B171" i="5" s="1"/>
  <c r="B173" i="5" s="1"/>
  <c r="B176" i="5" s="1"/>
  <c r="K27" i="5"/>
  <c r="K28" i="5" s="1"/>
  <c r="K62" i="5"/>
  <c r="K54" i="5"/>
  <c r="K56" i="5" s="1"/>
  <c r="K58" i="5" s="1"/>
  <c r="K64" i="5" l="1"/>
  <c r="K92" i="5"/>
  <c r="K93" i="5" s="1"/>
  <c r="K94" i="5" s="1"/>
  <c r="K96" i="5" s="1"/>
  <c r="K65" i="5" l="1"/>
  <c r="K77" i="5"/>
  <c r="K102" i="5"/>
  <c r="K117" i="5" s="1"/>
  <c r="K118" i="5" s="1"/>
  <c r="K41" i="5" s="1"/>
  <c r="K44" i="5" s="1"/>
  <c r="K123" i="5"/>
  <c r="K125" i="5" s="1"/>
  <c r="K131" i="5" s="1"/>
  <c r="K132" i="5" s="1"/>
  <c r="B12" i="8"/>
  <c r="B16" i="8" s="1"/>
  <c r="B43" i="8" s="1"/>
  <c r="B15" i="8" s="1"/>
  <c r="C13" i="8" s="1"/>
  <c r="B86" i="8"/>
  <c r="B87" i="8" s="1"/>
  <c r="K48" i="5" l="1"/>
  <c r="K71" i="5"/>
  <c r="K135" i="5" s="1"/>
  <c r="K136" i="5"/>
  <c r="K78" i="5"/>
  <c r="B17" i="8"/>
  <c r="B20" i="8" s="1"/>
  <c r="B14" i="8"/>
  <c r="K137" i="5" l="1"/>
  <c r="K70" i="5" s="1"/>
  <c r="K73" i="5" s="1"/>
  <c r="K149" i="5"/>
  <c r="B51" i="8"/>
  <c r="K153" i="5" l="1"/>
  <c r="K152" i="5"/>
  <c r="B89" i="8"/>
  <c r="B101" i="9" l="1"/>
  <c r="B124" i="9" s="1"/>
  <c r="B22" i="9"/>
  <c r="B24" i="9" s="1"/>
  <c r="B46" i="9"/>
  <c r="B47" i="9" s="1"/>
  <c r="B72" i="9" s="1"/>
  <c r="B25" i="9" l="1"/>
  <c r="B54" i="9" l="1"/>
  <c r="B56" i="9" s="1"/>
  <c r="B58" i="9" s="1"/>
  <c r="B92" i="9"/>
  <c r="B93" i="9" s="1"/>
  <c r="B94" i="9" s="1"/>
  <c r="B96" i="9" s="1"/>
  <c r="B26" i="9"/>
  <c r="B123" i="9" l="1"/>
  <c r="B125" i="9" s="1"/>
  <c r="B131" i="9" s="1"/>
  <c r="B132" i="9" s="1"/>
  <c r="B102" i="9"/>
  <c r="B117" i="9" s="1"/>
  <c r="B118" i="9" s="1"/>
  <c r="B41" i="9" s="1"/>
  <c r="B44" i="9" s="1"/>
  <c r="B27" i="9"/>
  <c r="C113" i="9" s="1"/>
  <c r="C114" i="9" s="1"/>
  <c r="B62" i="9"/>
  <c r="B64" i="9" s="1"/>
  <c r="B77" i="9" s="1"/>
  <c r="B28" i="9"/>
  <c r="C63" i="9" s="1"/>
  <c r="B142" i="9"/>
  <c r="C11" i="9"/>
  <c r="B78" i="9" l="1"/>
  <c r="B136" i="9"/>
  <c r="B65" i="9"/>
  <c r="C115" i="9"/>
  <c r="C128" i="9"/>
  <c r="C129" i="9" s="1"/>
  <c r="C158" i="9" s="1"/>
  <c r="C169" i="9" s="1"/>
  <c r="B48" i="9"/>
  <c r="B71" i="9"/>
  <c r="B135" i="9" s="1"/>
  <c r="C86" i="9"/>
  <c r="C87" i="9" s="1"/>
  <c r="C12" i="9"/>
  <c r="C16" i="9" l="1"/>
  <c r="C17" i="9"/>
  <c r="C20" i="9" s="1"/>
  <c r="B137" i="9"/>
  <c r="B70" i="9" s="1"/>
  <c r="B73" i="9" s="1"/>
  <c r="B149" i="9"/>
  <c r="C148" i="9" l="1"/>
  <c r="B152" i="9"/>
  <c r="B153" i="9"/>
  <c r="C43" i="9"/>
  <c r="C15" i="9" s="1"/>
  <c r="D13" i="9" s="1"/>
  <c r="C14" i="9" l="1"/>
  <c r="C51" i="9" s="1"/>
  <c r="C89" i="9" s="1"/>
  <c r="C11" i="8"/>
  <c r="D11" i="8"/>
  <c r="E11" i="8"/>
  <c r="F11" i="8"/>
  <c r="G11" i="8"/>
  <c r="H11" i="8"/>
  <c r="I11" i="8"/>
  <c r="J11" i="8"/>
  <c r="K11" i="8"/>
  <c r="C12" i="8"/>
  <c r="D12" i="8"/>
  <c r="E12" i="8"/>
  <c r="F12" i="8"/>
  <c r="G12" i="8"/>
  <c r="H12" i="8"/>
  <c r="I12" i="8"/>
  <c r="J12" i="8"/>
  <c r="K12" i="8"/>
  <c r="D13" i="8"/>
  <c r="E13" i="8"/>
  <c r="F13" i="8"/>
  <c r="G13" i="8"/>
  <c r="H13" i="8"/>
  <c r="I13" i="8"/>
  <c r="J13" i="8"/>
  <c r="K13" i="8"/>
  <c r="C14" i="8"/>
  <c r="D14" i="8"/>
  <c r="E14" i="8"/>
  <c r="F14" i="8"/>
  <c r="G14" i="8"/>
  <c r="H14" i="8"/>
  <c r="I14" i="8"/>
  <c r="J14" i="8"/>
  <c r="K14" i="8"/>
  <c r="C15" i="8"/>
  <c r="D15" i="8"/>
  <c r="E15" i="8"/>
  <c r="F15" i="8"/>
  <c r="G15" i="8"/>
  <c r="H15" i="8"/>
  <c r="I15" i="8"/>
  <c r="J15" i="8"/>
  <c r="K15" i="8"/>
  <c r="C16" i="8"/>
  <c r="D16" i="8"/>
  <c r="E16" i="8"/>
  <c r="F16" i="8"/>
  <c r="G16" i="8"/>
  <c r="H16" i="8"/>
  <c r="I16" i="8"/>
  <c r="J16" i="8"/>
  <c r="K16" i="8"/>
  <c r="C17" i="8"/>
  <c r="D17" i="8"/>
  <c r="E17" i="8"/>
  <c r="F17" i="8"/>
  <c r="G17" i="8"/>
  <c r="H17" i="8"/>
  <c r="I17" i="8"/>
  <c r="J17" i="8"/>
  <c r="K17" i="8"/>
  <c r="C20" i="8"/>
  <c r="D20" i="8"/>
  <c r="E20" i="8"/>
  <c r="F20" i="8"/>
  <c r="G20" i="8"/>
  <c r="H20" i="8"/>
  <c r="I20" i="8"/>
  <c r="J20" i="8"/>
  <c r="K20" i="8"/>
  <c r="B21" i="8"/>
  <c r="C21" i="8"/>
  <c r="D21" i="8"/>
  <c r="E21" i="8"/>
  <c r="F21" i="8"/>
  <c r="G21" i="8"/>
  <c r="H21" i="8"/>
  <c r="I21" i="8"/>
  <c r="J21" i="8"/>
  <c r="K21" i="8"/>
  <c r="B22" i="8"/>
  <c r="C22" i="8"/>
  <c r="D22" i="8"/>
  <c r="E22" i="8"/>
  <c r="F22" i="8"/>
  <c r="G22" i="8"/>
  <c r="H22" i="8"/>
  <c r="I22" i="8"/>
  <c r="J22" i="8"/>
  <c r="K22" i="8"/>
  <c r="B24" i="8"/>
  <c r="C24" i="8"/>
  <c r="D24" i="8"/>
  <c r="E24" i="8"/>
  <c r="F24" i="8"/>
  <c r="G24" i="8"/>
  <c r="H24" i="8"/>
  <c r="I24" i="8"/>
  <c r="J24" i="8"/>
  <c r="K24" i="8"/>
  <c r="B25" i="8"/>
  <c r="C25" i="8"/>
  <c r="D25" i="8"/>
  <c r="E25" i="8"/>
  <c r="F25" i="8"/>
  <c r="G25" i="8"/>
  <c r="H25" i="8"/>
  <c r="I25" i="8"/>
  <c r="J25" i="8"/>
  <c r="K25" i="8"/>
  <c r="B26" i="8"/>
  <c r="C26" i="8"/>
  <c r="D26" i="8"/>
  <c r="E26" i="8"/>
  <c r="F26" i="8"/>
  <c r="G26" i="8"/>
  <c r="H26" i="8"/>
  <c r="I26" i="8"/>
  <c r="J26" i="8"/>
  <c r="K26" i="8"/>
  <c r="B27" i="8"/>
  <c r="C27" i="8"/>
  <c r="D27" i="8"/>
  <c r="E27" i="8"/>
  <c r="F27" i="8"/>
  <c r="G27" i="8"/>
  <c r="H27" i="8"/>
  <c r="I27" i="8"/>
  <c r="J27" i="8"/>
  <c r="K27" i="8"/>
  <c r="B28" i="8"/>
  <c r="C28" i="8"/>
  <c r="D28" i="8"/>
  <c r="E28" i="8"/>
  <c r="F28" i="8"/>
  <c r="G28" i="8"/>
  <c r="H28" i="8"/>
  <c r="I28" i="8"/>
  <c r="J28" i="8"/>
  <c r="K28" i="8"/>
  <c r="B41" i="8"/>
  <c r="C41" i="8"/>
  <c r="D41" i="8"/>
  <c r="E41" i="8"/>
  <c r="F41" i="8"/>
  <c r="G41" i="8"/>
  <c r="H41" i="8"/>
  <c r="I41" i="8"/>
  <c r="J41" i="8"/>
  <c r="K41" i="8"/>
  <c r="C43" i="8"/>
  <c r="D43" i="8"/>
  <c r="E43" i="8"/>
  <c r="F43" i="8"/>
  <c r="G43" i="8"/>
  <c r="H43" i="8"/>
  <c r="I43" i="8"/>
  <c r="J43" i="8"/>
  <c r="K43" i="8"/>
  <c r="B44" i="8"/>
  <c r="C44" i="8"/>
  <c r="D44" i="8"/>
  <c r="E44" i="8"/>
  <c r="F44" i="8"/>
  <c r="G44" i="8"/>
  <c r="H44" i="8"/>
  <c r="I44" i="8"/>
  <c r="J44" i="8"/>
  <c r="K44" i="8"/>
  <c r="B45" i="8"/>
  <c r="C45" i="8"/>
  <c r="D45" i="8"/>
  <c r="E45" i="8"/>
  <c r="F45" i="8"/>
  <c r="G45" i="8"/>
  <c r="H45" i="8"/>
  <c r="I45" i="8"/>
  <c r="J45" i="8"/>
  <c r="K45" i="8"/>
  <c r="B46" i="8"/>
  <c r="C46" i="8"/>
  <c r="D46" i="8"/>
  <c r="E46" i="8"/>
  <c r="F46" i="8"/>
  <c r="G46" i="8"/>
  <c r="H46" i="8"/>
  <c r="I46" i="8"/>
  <c r="J46" i="8"/>
  <c r="K46" i="8"/>
  <c r="B47" i="8"/>
  <c r="C47" i="8"/>
  <c r="D47" i="8"/>
  <c r="E47" i="8"/>
  <c r="F47" i="8"/>
  <c r="G47" i="8"/>
  <c r="H47" i="8"/>
  <c r="I47" i="8"/>
  <c r="J47" i="8"/>
  <c r="K47" i="8"/>
  <c r="B48" i="8"/>
  <c r="C48" i="8"/>
  <c r="D48" i="8"/>
  <c r="E48" i="8"/>
  <c r="F48" i="8"/>
  <c r="G48" i="8"/>
  <c r="H48" i="8"/>
  <c r="I48" i="8"/>
  <c r="J48" i="8"/>
  <c r="K48" i="8"/>
  <c r="C51" i="8"/>
  <c r="D51" i="8"/>
  <c r="E51" i="8"/>
  <c r="F51" i="8"/>
  <c r="G51" i="8"/>
  <c r="H51" i="8"/>
  <c r="I51" i="8"/>
  <c r="J51" i="8"/>
  <c r="K51" i="8"/>
  <c r="B54" i="8"/>
  <c r="C54" i="8"/>
  <c r="D54" i="8"/>
  <c r="E54" i="8"/>
  <c r="F54" i="8"/>
  <c r="G54" i="8"/>
  <c r="H54" i="8"/>
  <c r="I54" i="8"/>
  <c r="J54" i="8"/>
  <c r="K54" i="8"/>
  <c r="B56" i="8"/>
  <c r="C56" i="8"/>
  <c r="D56" i="8"/>
  <c r="E56" i="8"/>
  <c r="F56" i="8"/>
  <c r="G56" i="8"/>
  <c r="H56" i="8"/>
  <c r="I56" i="8"/>
  <c r="J56" i="8"/>
  <c r="K56" i="8"/>
  <c r="B58" i="8"/>
  <c r="C58" i="8"/>
  <c r="D58" i="8"/>
  <c r="E58" i="8"/>
  <c r="F58" i="8"/>
  <c r="G58" i="8"/>
  <c r="H58" i="8"/>
  <c r="I58" i="8"/>
  <c r="J58" i="8"/>
  <c r="K58" i="8"/>
  <c r="B62" i="8"/>
  <c r="C62" i="8"/>
  <c r="D62" i="8"/>
  <c r="E62" i="8"/>
  <c r="F62" i="8"/>
  <c r="G62" i="8"/>
  <c r="H62" i="8"/>
  <c r="I62" i="8"/>
  <c r="J62" i="8"/>
  <c r="K62" i="8"/>
  <c r="C63" i="8"/>
  <c r="D63" i="8"/>
  <c r="E63" i="8"/>
  <c r="F63" i="8"/>
  <c r="G63" i="8"/>
  <c r="H63" i="8"/>
  <c r="I63" i="8"/>
  <c r="J63" i="8"/>
  <c r="K63" i="8"/>
  <c r="B64" i="8"/>
  <c r="C64" i="8"/>
  <c r="D64" i="8"/>
  <c r="E64" i="8"/>
  <c r="F64" i="8"/>
  <c r="G64" i="8"/>
  <c r="H64" i="8"/>
  <c r="I64" i="8"/>
  <c r="J64" i="8"/>
  <c r="K64" i="8"/>
  <c r="B65" i="8"/>
  <c r="C65" i="8"/>
  <c r="D65" i="8"/>
  <c r="E65" i="8"/>
  <c r="F65" i="8"/>
  <c r="G65" i="8"/>
  <c r="H65" i="8"/>
  <c r="I65" i="8"/>
  <c r="J65" i="8"/>
  <c r="K65" i="8"/>
  <c r="B70" i="8"/>
  <c r="C70" i="8"/>
  <c r="D70" i="8"/>
  <c r="E70" i="8"/>
  <c r="F70" i="8"/>
  <c r="G70" i="8"/>
  <c r="H70" i="8"/>
  <c r="I70" i="8"/>
  <c r="J70" i="8"/>
  <c r="K70" i="8"/>
  <c r="B71" i="8"/>
  <c r="C71" i="8"/>
  <c r="D71" i="8"/>
  <c r="E71" i="8"/>
  <c r="F71" i="8"/>
  <c r="G71" i="8"/>
  <c r="H71" i="8"/>
  <c r="I71" i="8"/>
  <c r="J71" i="8"/>
  <c r="K71" i="8"/>
  <c r="B72" i="8"/>
  <c r="C72" i="8"/>
  <c r="D72" i="8"/>
  <c r="E72" i="8"/>
  <c r="F72" i="8"/>
  <c r="G72" i="8"/>
  <c r="H72" i="8"/>
  <c r="I72" i="8"/>
  <c r="J72" i="8"/>
  <c r="K72" i="8"/>
  <c r="B73" i="8"/>
  <c r="C73" i="8"/>
  <c r="D73" i="8"/>
  <c r="E73" i="8"/>
  <c r="F73" i="8"/>
  <c r="G73" i="8"/>
  <c r="H73" i="8"/>
  <c r="I73" i="8"/>
  <c r="J73" i="8"/>
  <c r="K73" i="8"/>
  <c r="B77" i="8"/>
  <c r="C77" i="8"/>
  <c r="D77" i="8"/>
  <c r="E77" i="8"/>
  <c r="F77" i="8"/>
  <c r="G77" i="8"/>
  <c r="H77" i="8"/>
  <c r="I77" i="8"/>
  <c r="J77" i="8"/>
  <c r="K77" i="8"/>
  <c r="B78" i="8"/>
  <c r="C78" i="8"/>
  <c r="D78" i="8"/>
  <c r="E78" i="8"/>
  <c r="F78" i="8"/>
  <c r="G78" i="8"/>
  <c r="H78" i="8"/>
  <c r="I78" i="8"/>
  <c r="J78" i="8"/>
  <c r="K78" i="8"/>
  <c r="C86" i="8"/>
  <c r="D86" i="8"/>
  <c r="E86" i="8"/>
  <c r="F86" i="8"/>
  <c r="G86" i="8"/>
  <c r="H86" i="8"/>
  <c r="I86" i="8"/>
  <c r="J86" i="8"/>
  <c r="K86" i="8"/>
  <c r="C87" i="8"/>
  <c r="D87" i="8"/>
  <c r="E87" i="8"/>
  <c r="F87" i="8"/>
  <c r="G87" i="8"/>
  <c r="H87" i="8"/>
  <c r="I87" i="8"/>
  <c r="J87" i="8"/>
  <c r="K87" i="8"/>
  <c r="C89" i="8"/>
  <c r="D89" i="8"/>
  <c r="E89" i="8"/>
  <c r="F89" i="8"/>
  <c r="G89" i="8"/>
  <c r="H89" i="8"/>
  <c r="I89" i="8"/>
  <c r="J89" i="8"/>
  <c r="K89" i="8"/>
  <c r="B92" i="8"/>
  <c r="C92" i="8"/>
  <c r="D92" i="8"/>
  <c r="E92" i="8"/>
  <c r="F92" i="8"/>
  <c r="G92" i="8"/>
  <c r="H92" i="8"/>
  <c r="I92" i="8"/>
  <c r="J92" i="8"/>
  <c r="K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B96" i="8"/>
  <c r="C96" i="8"/>
  <c r="D96" i="8"/>
  <c r="E96" i="8"/>
  <c r="F96" i="8"/>
  <c r="G96" i="8"/>
  <c r="H96" i="8"/>
  <c r="I96" i="8"/>
  <c r="J96" i="8"/>
  <c r="K96" i="8"/>
  <c r="B100" i="8"/>
  <c r="C100" i="8"/>
  <c r="D100" i="8"/>
  <c r="E100" i="8"/>
  <c r="F100" i="8"/>
  <c r="G100" i="8"/>
  <c r="H100" i="8"/>
  <c r="I100" i="8"/>
  <c r="J100" i="8"/>
  <c r="K100" i="8"/>
  <c r="B101" i="8"/>
  <c r="C101" i="8"/>
  <c r="D101" i="8"/>
  <c r="E101" i="8"/>
  <c r="F101" i="8"/>
  <c r="G101" i="8"/>
  <c r="H101" i="8"/>
  <c r="I101" i="8"/>
  <c r="J101" i="8"/>
  <c r="K101" i="8"/>
  <c r="B102" i="8"/>
  <c r="C102" i="8"/>
  <c r="D102" i="8"/>
  <c r="E102" i="8"/>
  <c r="F102" i="8"/>
  <c r="G102" i="8"/>
  <c r="H102" i="8"/>
  <c r="I102" i="8"/>
  <c r="J102" i="8"/>
  <c r="K102" i="8"/>
  <c r="C113" i="8"/>
  <c r="D113" i="8"/>
  <c r="E113" i="8"/>
  <c r="F113" i="8"/>
  <c r="G113" i="8"/>
  <c r="H113" i="8"/>
  <c r="I113" i="8"/>
  <c r="J113" i="8"/>
  <c r="K113" i="8"/>
  <c r="C114" i="8"/>
  <c r="D114" i="8"/>
  <c r="E114" i="8"/>
  <c r="F114" i="8"/>
  <c r="G114" i="8"/>
  <c r="H114" i="8"/>
  <c r="I114" i="8"/>
  <c r="J114" i="8"/>
  <c r="K114" i="8"/>
  <c r="C115" i="8"/>
  <c r="D115" i="8"/>
  <c r="E115" i="8"/>
  <c r="F115" i="8"/>
  <c r="G115" i="8"/>
  <c r="H115" i="8"/>
  <c r="I115" i="8"/>
  <c r="J115" i="8"/>
  <c r="K115" i="8"/>
  <c r="B117" i="8"/>
  <c r="C117" i="8"/>
  <c r="D117" i="8"/>
  <c r="E117" i="8"/>
  <c r="F117" i="8"/>
  <c r="G117" i="8"/>
  <c r="H117" i="8"/>
  <c r="I117" i="8"/>
  <c r="J117" i="8"/>
  <c r="K117" i="8"/>
  <c r="B118" i="8"/>
  <c r="C118" i="8"/>
  <c r="D118" i="8"/>
  <c r="E118" i="8"/>
  <c r="F118" i="8"/>
  <c r="G118" i="8"/>
  <c r="H118" i="8"/>
  <c r="I118" i="8"/>
  <c r="J118" i="8"/>
  <c r="K118" i="8"/>
  <c r="B123" i="8"/>
  <c r="C123" i="8"/>
  <c r="D123" i="8"/>
  <c r="E123" i="8"/>
  <c r="F123" i="8"/>
  <c r="G123" i="8"/>
  <c r="H123" i="8"/>
  <c r="I123" i="8"/>
  <c r="J123" i="8"/>
  <c r="K123" i="8"/>
  <c r="B124" i="8"/>
  <c r="C124" i="8"/>
  <c r="D124" i="8"/>
  <c r="E124" i="8"/>
  <c r="F124" i="8"/>
  <c r="G124" i="8"/>
  <c r="H124" i="8"/>
  <c r="I124" i="8"/>
  <c r="J124" i="8"/>
  <c r="K124" i="8"/>
  <c r="B125" i="8"/>
  <c r="C125" i="8"/>
  <c r="D125" i="8"/>
  <c r="E125" i="8"/>
  <c r="F125" i="8"/>
  <c r="G125" i="8"/>
  <c r="H125" i="8"/>
  <c r="I125" i="8"/>
  <c r="J125" i="8"/>
  <c r="K125" i="8"/>
  <c r="C128" i="8"/>
  <c r="D128" i="8"/>
  <c r="E128" i="8"/>
  <c r="F128" i="8"/>
  <c r="G128" i="8"/>
  <c r="H128" i="8"/>
  <c r="I128" i="8"/>
  <c r="J128" i="8"/>
  <c r="K128" i="8"/>
  <c r="C129" i="8"/>
  <c r="D129" i="8"/>
  <c r="E129" i="8"/>
  <c r="F129" i="8"/>
  <c r="G129" i="8"/>
  <c r="H129" i="8"/>
  <c r="I129" i="8"/>
  <c r="J129" i="8"/>
  <c r="K129" i="8"/>
  <c r="B131" i="8"/>
  <c r="C131" i="8"/>
  <c r="D131" i="8"/>
  <c r="E131" i="8"/>
  <c r="F131" i="8"/>
  <c r="G131" i="8"/>
  <c r="H131" i="8"/>
  <c r="I131" i="8"/>
  <c r="J131" i="8"/>
  <c r="K131" i="8"/>
  <c r="B132" i="8"/>
  <c r="C132" i="8"/>
  <c r="D132" i="8"/>
  <c r="E132" i="8"/>
  <c r="F132" i="8"/>
  <c r="G132" i="8"/>
  <c r="H132" i="8"/>
  <c r="I132" i="8"/>
  <c r="J132" i="8"/>
  <c r="K132" i="8"/>
  <c r="B135" i="8"/>
  <c r="C135" i="8"/>
  <c r="D135" i="8"/>
  <c r="E135" i="8"/>
  <c r="F135" i="8"/>
  <c r="G135" i="8"/>
  <c r="H135" i="8"/>
  <c r="I135" i="8"/>
  <c r="J135" i="8"/>
  <c r="K135" i="8"/>
  <c r="B136" i="8"/>
  <c r="C136" i="8"/>
  <c r="D136" i="8"/>
  <c r="E136" i="8"/>
  <c r="F136" i="8"/>
  <c r="G136" i="8"/>
  <c r="H136" i="8"/>
  <c r="I136" i="8"/>
  <c r="J136" i="8"/>
  <c r="K136" i="8"/>
  <c r="B137" i="8"/>
  <c r="C137" i="8"/>
  <c r="D137" i="8"/>
  <c r="E137" i="8"/>
  <c r="F137" i="8"/>
  <c r="G137" i="8"/>
  <c r="H137" i="8"/>
  <c r="I137" i="8"/>
  <c r="J137" i="8"/>
  <c r="K137" i="8"/>
  <c r="B142" i="8"/>
  <c r="C142" i="8"/>
  <c r="D142" i="8"/>
  <c r="E142" i="8"/>
  <c r="F142" i="8"/>
  <c r="G142" i="8"/>
  <c r="H142" i="8"/>
  <c r="I142" i="8"/>
  <c r="J142" i="8"/>
  <c r="K142" i="8"/>
  <c r="C143" i="8"/>
  <c r="D143" i="8"/>
  <c r="E143" i="8"/>
  <c r="F143" i="8"/>
  <c r="G143" i="8"/>
  <c r="H143" i="8"/>
  <c r="I143" i="8"/>
  <c r="J143" i="8"/>
  <c r="K143" i="8"/>
  <c r="C144" i="8"/>
  <c r="D144" i="8"/>
  <c r="E144" i="8"/>
  <c r="F144" i="8"/>
  <c r="G144" i="8"/>
  <c r="H144" i="8"/>
  <c r="I144" i="8"/>
  <c r="J144" i="8"/>
  <c r="K144" i="8"/>
  <c r="C145" i="8"/>
  <c r="D145" i="8"/>
  <c r="E145" i="8"/>
  <c r="F145" i="8"/>
  <c r="G145" i="8"/>
  <c r="H145" i="8"/>
  <c r="I145" i="8"/>
  <c r="J145" i="8"/>
  <c r="K145" i="8"/>
  <c r="C148" i="8"/>
  <c r="D148" i="8"/>
  <c r="E148" i="8"/>
  <c r="F148" i="8"/>
  <c r="G148" i="8"/>
  <c r="H148" i="8"/>
  <c r="I148" i="8"/>
  <c r="J148" i="8"/>
  <c r="K148" i="8"/>
  <c r="B149" i="8"/>
  <c r="C149" i="8"/>
  <c r="D149" i="8"/>
  <c r="E149" i="8"/>
  <c r="F149" i="8"/>
  <c r="G149" i="8"/>
  <c r="H149" i="8"/>
  <c r="I149" i="8"/>
  <c r="J149" i="8"/>
  <c r="K149" i="8"/>
  <c r="B152" i="8"/>
  <c r="C152" i="8"/>
  <c r="D152" i="8"/>
  <c r="E152" i="8"/>
  <c r="F152" i="8"/>
  <c r="G152" i="8"/>
  <c r="H152" i="8"/>
  <c r="I152" i="8"/>
  <c r="J152" i="8"/>
  <c r="K152" i="8"/>
  <c r="B153" i="8"/>
  <c r="C153" i="8"/>
  <c r="D153" i="8"/>
  <c r="E153" i="8"/>
  <c r="F153" i="8"/>
  <c r="G153" i="8"/>
  <c r="H153" i="8"/>
  <c r="I153" i="8"/>
  <c r="J153" i="8"/>
  <c r="K153" i="8"/>
  <c r="C158" i="8"/>
  <c r="D158" i="8"/>
  <c r="E158" i="8"/>
  <c r="F158" i="8"/>
  <c r="G158" i="8"/>
  <c r="H158" i="8"/>
  <c r="I158" i="8"/>
  <c r="J158" i="8"/>
  <c r="K158" i="8"/>
  <c r="K165" i="8"/>
  <c r="K166" i="8"/>
  <c r="K167" i="8"/>
  <c r="C169" i="8"/>
  <c r="D169" i="8"/>
  <c r="E169" i="8"/>
  <c r="F169" i="8"/>
  <c r="G169" i="8"/>
  <c r="H169" i="8"/>
  <c r="I169" i="8"/>
  <c r="J169" i="8"/>
  <c r="K169" i="8"/>
  <c r="B171" i="8"/>
  <c r="B173" i="8"/>
  <c r="B176" i="8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C27" i="9"/>
  <c r="D27" i="9"/>
  <c r="E27" i="9"/>
  <c r="F27" i="9"/>
  <c r="G27" i="9"/>
  <c r="H27" i="9"/>
  <c r="I27" i="9"/>
  <c r="J27" i="9"/>
  <c r="K27" i="9"/>
  <c r="C28" i="9"/>
  <c r="D28" i="9"/>
  <c r="E28" i="9"/>
  <c r="F28" i="9"/>
  <c r="G28" i="9"/>
  <c r="H28" i="9"/>
  <c r="I28" i="9"/>
  <c r="J28" i="9"/>
  <c r="K28" i="9"/>
  <c r="C41" i="9"/>
  <c r="D41" i="9"/>
  <c r="E41" i="9"/>
  <c r="F41" i="9"/>
  <c r="G41" i="9"/>
  <c r="H41" i="9"/>
  <c r="I41" i="9"/>
  <c r="J41" i="9"/>
  <c r="K41" i="9"/>
  <c r="D43" i="9"/>
  <c r="E43" i="9"/>
  <c r="F43" i="9"/>
  <c r="G43" i="9"/>
  <c r="H43" i="9"/>
  <c r="I43" i="9"/>
  <c r="J43" i="9"/>
  <c r="K43" i="9"/>
  <c r="C44" i="9"/>
  <c r="D44" i="9"/>
  <c r="E44" i="9"/>
  <c r="F44" i="9"/>
  <c r="G44" i="9"/>
  <c r="H44" i="9"/>
  <c r="I44" i="9"/>
  <c r="J44" i="9"/>
  <c r="K44" i="9"/>
  <c r="C45" i="9"/>
  <c r="D45" i="9"/>
  <c r="E45" i="9"/>
  <c r="F45" i="9"/>
  <c r="G45" i="9"/>
  <c r="H45" i="9"/>
  <c r="I45" i="9"/>
  <c r="J45" i="9"/>
  <c r="K45" i="9"/>
  <c r="C46" i="9"/>
  <c r="D46" i="9"/>
  <c r="E46" i="9"/>
  <c r="F46" i="9"/>
  <c r="G46" i="9"/>
  <c r="H46" i="9"/>
  <c r="I46" i="9"/>
  <c r="J46" i="9"/>
  <c r="K46" i="9"/>
  <c r="C47" i="9"/>
  <c r="D47" i="9"/>
  <c r="E47" i="9"/>
  <c r="F47" i="9"/>
  <c r="G47" i="9"/>
  <c r="H47" i="9"/>
  <c r="I47" i="9"/>
  <c r="J47" i="9"/>
  <c r="K47" i="9"/>
  <c r="C48" i="9"/>
  <c r="D48" i="9"/>
  <c r="E48" i="9"/>
  <c r="F48" i="9"/>
  <c r="G48" i="9"/>
  <c r="H48" i="9"/>
  <c r="I48" i="9"/>
  <c r="J48" i="9"/>
  <c r="K48" i="9"/>
  <c r="D51" i="9"/>
  <c r="E51" i="9"/>
  <c r="F51" i="9"/>
  <c r="G51" i="9"/>
  <c r="H51" i="9"/>
  <c r="I51" i="9"/>
  <c r="J51" i="9"/>
  <c r="K51" i="9"/>
  <c r="C54" i="9"/>
  <c r="D54" i="9"/>
  <c r="E54" i="9"/>
  <c r="F54" i="9"/>
  <c r="G54" i="9"/>
  <c r="H54" i="9"/>
  <c r="I54" i="9"/>
  <c r="J54" i="9"/>
  <c r="K54" i="9"/>
  <c r="C56" i="9"/>
  <c r="D56" i="9"/>
  <c r="E56" i="9"/>
  <c r="F56" i="9"/>
  <c r="G56" i="9"/>
  <c r="H56" i="9"/>
  <c r="I56" i="9"/>
  <c r="J56" i="9"/>
  <c r="K56" i="9"/>
  <c r="C58" i="9"/>
  <c r="D58" i="9"/>
  <c r="E58" i="9"/>
  <c r="F58" i="9"/>
  <c r="G58" i="9"/>
  <c r="H58" i="9"/>
  <c r="I58" i="9"/>
  <c r="J58" i="9"/>
  <c r="K58" i="9"/>
  <c r="C62" i="9"/>
  <c r="D62" i="9"/>
  <c r="E62" i="9"/>
  <c r="F62" i="9"/>
  <c r="G62" i="9"/>
  <c r="H62" i="9"/>
  <c r="I62" i="9"/>
  <c r="J62" i="9"/>
  <c r="K62" i="9"/>
  <c r="D63" i="9"/>
  <c r="E63" i="9"/>
  <c r="F63" i="9"/>
  <c r="G63" i="9"/>
  <c r="H63" i="9"/>
  <c r="I63" i="9"/>
  <c r="J63" i="9"/>
  <c r="K63" i="9"/>
  <c r="C64" i="9"/>
  <c r="D64" i="9"/>
  <c r="E64" i="9"/>
  <c r="F64" i="9"/>
  <c r="G64" i="9"/>
  <c r="H64" i="9"/>
  <c r="I64" i="9"/>
  <c r="J64" i="9"/>
  <c r="K64" i="9"/>
  <c r="C65" i="9"/>
  <c r="D65" i="9"/>
  <c r="E65" i="9"/>
  <c r="F65" i="9"/>
  <c r="G65" i="9"/>
  <c r="H65" i="9"/>
  <c r="I65" i="9"/>
  <c r="J65" i="9"/>
  <c r="K65" i="9"/>
  <c r="C70" i="9"/>
  <c r="D70" i="9"/>
  <c r="E70" i="9"/>
  <c r="F70" i="9"/>
  <c r="G70" i="9"/>
  <c r="H70" i="9"/>
  <c r="I70" i="9"/>
  <c r="J70" i="9"/>
  <c r="K70" i="9"/>
  <c r="C71" i="9"/>
  <c r="D71" i="9"/>
  <c r="E71" i="9"/>
  <c r="F71" i="9"/>
  <c r="G71" i="9"/>
  <c r="H71" i="9"/>
  <c r="I71" i="9"/>
  <c r="J71" i="9"/>
  <c r="K71" i="9"/>
  <c r="C72" i="9"/>
  <c r="D72" i="9"/>
  <c r="E72" i="9"/>
  <c r="F72" i="9"/>
  <c r="G72" i="9"/>
  <c r="H72" i="9"/>
  <c r="I72" i="9"/>
  <c r="J72" i="9"/>
  <c r="K72" i="9"/>
  <c r="C73" i="9"/>
  <c r="D73" i="9"/>
  <c r="E73" i="9"/>
  <c r="F73" i="9"/>
  <c r="G73" i="9"/>
  <c r="H73" i="9"/>
  <c r="I73" i="9"/>
  <c r="J73" i="9"/>
  <c r="K73" i="9"/>
  <c r="C77" i="9"/>
  <c r="D77" i="9"/>
  <c r="E77" i="9"/>
  <c r="F77" i="9"/>
  <c r="G77" i="9"/>
  <c r="H77" i="9"/>
  <c r="I77" i="9"/>
  <c r="J77" i="9"/>
  <c r="K77" i="9"/>
  <c r="C78" i="9"/>
  <c r="D78" i="9"/>
  <c r="E78" i="9"/>
  <c r="F78" i="9"/>
  <c r="G78" i="9"/>
  <c r="H78" i="9"/>
  <c r="I78" i="9"/>
  <c r="J78" i="9"/>
  <c r="K78" i="9"/>
  <c r="D86" i="9"/>
  <c r="E86" i="9"/>
  <c r="F86" i="9"/>
  <c r="G86" i="9"/>
  <c r="H86" i="9"/>
  <c r="I86" i="9"/>
  <c r="J86" i="9"/>
  <c r="K86" i="9"/>
  <c r="D87" i="9"/>
  <c r="E87" i="9"/>
  <c r="F87" i="9"/>
  <c r="G87" i="9"/>
  <c r="H87" i="9"/>
  <c r="I87" i="9"/>
  <c r="J87" i="9"/>
  <c r="K87" i="9"/>
  <c r="D89" i="9"/>
  <c r="E89" i="9"/>
  <c r="F89" i="9"/>
  <c r="G89" i="9"/>
  <c r="H89" i="9"/>
  <c r="I89" i="9"/>
  <c r="J89" i="9"/>
  <c r="K89" i="9"/>
  <c r="C92" i="9"/>
  <c r="D92" i="9"/>
  <c r="E92" i="9"/>
  <c r="F92" i="9"/>
  <c r="G92" i="9"/>
  <c r="H92" i="9"/>
  <c r="I92" i="9"/>
  <c r="J92" i="9"/>
  <c r="K92" i="9"/>
  <c r="C93" i="9"/>
  <c r="D93" i="9"/>
  <c r="E93" i="9"/>
  <c r="F93" i="9"/>
  <c r="G93" i="9"/>
  <c r="H93" i="9"/>
  <c r="I93" i="9"/>
  <c r="J93" i="9"/>
  <c r="K93" i="9"/>
  <c r="C94" i="9"/>
  <c r="D94" i="9"/>
  <c r="E94" i="9"/>
  <c r="F94" i="9"/>
  <c r="G94" i="9"/>
  <c r="H94" i="9"/>
  <c r="I94" i="9"/>
  <c r="J94" i="9"/>
  <c r="K94" i="9"/>
  <c r="C96" i="9"/>
  <c r="D96" i="9"/>
  <c r="E96" i="9"/>
  <c r="F96" i="9"/>
  <c r="G96" i="9"/>
  <c r="H96" i="9"/>
  <c r="I96" i="9"/>
  <c r="J96" i="9"/>
  <c r="K96" i="9"/>
  <c r="C100" i="9"/>
  <c r="D100" i="9"/>
  <c r="E100" i="9"/>
  <c r="F100" i="9"/>
  <c r="G100" i="9"/>
  <c r="H100" i="9"/>
  <c r="I100" i="9"/>
  <c r="J100" i="9"/>
  <c r="K100" i="9"/>
  <c r="C101" i="9"/>
  <c r="D101" i="9"/>
  <c r="E101" i="9"/>
  <c r="F101" i="9"/>
  <c r="G101" i="9"/>
  <c r="H101" i="9"/>
  <c r="I101" i="9"/>
  <c r="J101" i="9"/>
  <c r="K101" i="9"/>
  <c r="C102" i="9"/>
  <c r="D102" i="9"/>
  <c r="E102" i="9"/>
  <c r="F102" i="9"/>
  <c r="G102" i="9"/>
  <c r="H102" i="9"/>
  <c r="I102" i="9"/>
  <c r="J102" i="9"/>
  <c r="K102" i="9"/>
  <c r="D113" i="9"/>
  <c r="E113" i="9"/>
  <c r="F113" i="9"/>
  <c r="G113" i="9"/>
  <c r="H113" i="9"/>
  <c r="I113" i="9"/>
  <c r="J113" i="9"/>
  <c r="K113" i="9"/>
  <c r="D114" i="9"/>
  <c r="E114" i="9"/>
  <c r="F114" i="9"/>
  <c r="G114" i="9"/>
  <c r="H114" i="9"/>
  <c r="I114" i="9"/>
  <c r="J114" i="9"/>
  <c r="K114" i="9"/>
  <c r="D115" i="9"/>
  <c r="E115" i="9"/>
  <c r="F115" i="9"/>
  <c r="G115" i="9"/>
  <c r="H115" i="9"/>
  <c r="I115" i="9"/>
  <c r="J115" i="9"/>
  <c r="K115" i="9"/>
  <c r="C117" i="9"/>
  <c r="D117" i="9"/>
  <c r="E117" i="9"/>
  <c r="F117" i="9"/>
  <c r="G117" i="9"/>
  <c r="H117" i="9"/>
  <c r="I117" i="9"/>
  <c r="J117" i="9"/>
  <c r="K117" i="9"/>
  <c r="C118" i="9"/>
  <c r="D118" i="9"/>
  <c r="E118" i="9"/>
  <c r="F118" i="9"/>
  <c r="G118" i="9"/>
  <c r="H118" i="9"/>
  <c r="I118" i="9"/>
  <c r="J118" i="9"/>
  <c r="K118" i="9"/>
  <c r="C123" i="9"/>
  <c r="D123" i="9"/>
  <c r="E123" i="9"/>
  <c r="F123" i="9"/>
  <c r="G123" i="9"/>
  <c r="H123" i="9"/>
  <c r="I123" i="9"/>
  <c r="J123" i="9"/>
  <c r="K123" i="9"/>
  <c r="C124" i="9"/>
  <c r="D124" i="9"/>
  <c r="E124" i="9"/>
  <c r="F124" i="9"/>
  <c r="G124" i="9"/>
  <c r="H124" i="9"/>
  <c r="I124" i="9"/>
  <c r="J124" i="9"/>
  <c r="K124" i="9"/>
  <c r="C125" i="9"/>
  <c r="D125" i="9"/>
  <c r="E125" i="9"/>
  <c r="F125" i="9"/>
  <c r="G125" i="9"/>
  <c r="H125" i="9"/>
  <c r="I125" i="9"/>
  <c r="J125" i="9"/>
  <c r="K125" i="9"/>
  <c r="D128" i="9"/>
  <c r="E128" i="9"/>
  <c r="F128" i="9"/>
  <c r="G128" i="9"/>
  <c r="H128" i="9"/>
  <c r="I128" i="9"/>
  <c r="J128" i="9"/>
  <c r="K128" i="9"/>
  <c r="D129" i="9"/>
  <c r="E129" i="9"/>
  <c r="F129" i="9"/>
  <c r="G129" i="9"/>
  <c r="H129" i="9"/>
  <c r="I129" i="9"/>
  <c r="J129" i="9"/>
  <c r="K129" i="9"/>
  <c r="C131" i="9"/>
  <c r="D131" i="9"/>
  <c r="E131" i="9"/>
  <c r="F131" i="9"/>
  <c r="G131" i="9"/>
  <c r="H131" i="9"/>
  <c r="I131" i="9"/>
  <c r="J131" i="9"/>
  <c r="K131" i="9"/>
  <c r="C132" i="9"/>
  <c r="D132" i="9"/>
  <c r="E132" i="9"/>
  <c r="F132" i="9"/>
  <c r="G132" i="9"/>
  <c r="H132" i="9"/>
  <c r="I132" i="9"/>
  <c r="J132" i="9"/>
  <c r="K132" i="9"/>
  <c r="C135" i="9"/>
  <c r="D135" i="9"/>
  <c r="E135" i="9"/>
  <c r="F135" i="9"/>
  <c r="G135" i="9"/>
  <c r="H135" i="9"/>
  <c r="I135" i="9"/>
  <c r="J135" i="9"/>
  <c r="K135" i="9"/>
  <c r="C136" i="9"/>
  <c r="D136" i="9"/>
  <c r="E136" i="9"/>
  <c r="F136" i="9"/>
  <c r="G136" i="9"/>
  <c r="H136" i="9"/>
  <c r="I136" i="9"/>
  <c r="J136" i="9"/>
  <c r="K136" i="9"/>
  <c r="C137" i="9"/>
  <c r="D137" i="9"/>
  <c r="E137" i="9"/>
  <c r="F137" i="9"/>
  <c r="G137" i="9"/>
  <c r="H137" i="9"/>
  <c r="I137" i="9"/>
  <c r="J137" i="9"/>
  <c r="K137" i="9"/>
  <c r="C142" i="9"/>
  <c r="D142" i="9"/>
  <c r="E142" i="9"/>
  <c r="F142" i="9"/>
  <c r="G142" i="9"/>
  <c r="H142" i="9"/>
  <c r="I142" i="9"/>
  <c r="J142" i="9"/>
  <c r="K142" i="9"/>
  <c r="C143" i="9"/>
  <c r="D143" i="9"/>
  <c r="E143" i="9"/>
  <c r="F143" i="9"/>
  <c r="G143" i="9"/>
  <c r="H143" i="9"/>
  <c r="I143" i="9"/>
  <c r="J143" i="9"/>
  <c r="K143" i="9"/>
  <c r="C144" i="9"/>
  <c r="D144" i="9"/>
  <c r="E144" i="9"/>
  <c r="F144" i="9"/>
  <c r="G144" i="9"/>
  <c r="H144" i="9"/>
  <c r="I144" i="9"/>
  <c r="J144" i="9"/>
  <c r="K144" i="9"/>
  <c r="C145" i="9"/>
  <c r="D145" i="9"/>
  <c r="E145" i="9"/>
  <c r="F145" i="9"/>
  <c r="G145" i="9"/>
  <c r="H145" i="9"/>
  <c r="I145" i="9"/>
  <c r="J145" i="9"/>
  <c r="K145" i="9"/>
  <c r="D148" i="9"/>
  <c r="E148" i="9"/>
  <c r="F148" i="9"/>
  <c r="G148" i="9"/>
  <c r="H148" i="9"/>
  <c r="I148" i="9"/>
  <c r="J148" i="9"/>
  <c r="K148" i="9"/>
  <c r="C149" i="9"/>
  <c r="D149" i="9"/>
  <c r="E149" i="9"/>
  <c r="F149" i="9"/>
  <c r="G149" i="9"/>
  <c r="H149" i="9"/>
  <c r="I149" i="9"/>
  <c r="J149" i="9"/>
  <c r="K149" i="9"/>
  <c r="C152" i="9"/>
  <c r="D152" i="9"/>
  <c r="E152" i="9"/>
  <c r="F152" i="9"/>
  <c r="G152" i="9"/>
  <c r="H152" i="9"/>
  <c r="I152" i="9"/>
  <c r="J152" i="9"/>
  <c r="K152" i="9"/>
  <c r="C153" i="9"/>
  <c r="D153" i="9"/>
  <c r="E153" i="9"/>
  <c r="F153" i="9"/>
  <c r="G153" i="9"/>
  <c r="H153" i="9"/>
  <c r="I153" i="9"/>
  <c r="J153" i="9"/>
  <c r="K153" i="9"/>
  <c r="D158" i="9"/>
  <c r="E158" i="9"/>
  <c r="F158" i="9"/>
  <c r="G158" i="9"/>
  <c r="H158" i="9"/>
  <c r="I158" i="9"/>
  <c r="J158" i="9"/>
  <c r="K158" i="9"/>
  <c r="K165" i="9"/>
  <c r="K166" i="9"/>
  <c r="K167" i="9"/>
  <c r="D169" i="9"/>
  <c r="E169" i="9"/>
  <c r="F169" i="9"/>
  <c r="G169" i="9"/>
  <c r="H169" i="9"/>
  <c r="I169" i="9"/>
  <c r="J169" i="9"/>
  <c r="K169" i="9"/>
  <c r="B171" i="9"/>
  <c r="B173" i="9"/>
  <c r="B176" i="9"/>
</calcChain>
</file>

<file path=xl/sharedStrings.xml><?xml version="1.0" encoding="utf-8"?>
<sst xmlns="http://schemas.openxmlformats.org/spreadsheetml/2006/main" count="1032" uniqueCount="186">
  <si>
    <t>Parámetros de Proyección de Resultados</t>
  </si>
  <si>
    <t>Crecimiento de Ventas (g)</t>
  </si>
  <si>
    <t>Margen Bruto</t>
  </si>
  <si>
    <t>Estado de Resultados</t>
  </si>
  <si>
    <t>Proyectados</t>
  </si>
  <si>
    <t>Hipótesis para proyección</t>
  </si>
  <si>
    <t>Ventas</t>
  </si>
  <si>
    <t>Inventario Inicial</t>
  </si>
  <si>
    <t>Igual al inventario final del periodo anterior</t>
  </si>
  <si>
    <t>Compras</t>
  </si>
  <si>
    <t>CV + In - Io</t>
  </si>
  <si>
    <t>Inventario Final</t>
  </si>
  <si>
    <t>Costo de Ventas</t>
  </si>
  <si>
    <t>Beneficio Bruto</t>
  </si>
  <si>
    <t>Gastos de Administración</t>
  </si>
  <si>
    <t>Gastos de Ventas</t>
  </si>
  <si>
    <t>EBITDA</t>
  </si>
  <si>
    <t>Depreciación</t>
  </si>
  <si>
    <t>EBIT o  BAIT</t>
  </si>
  <si>
    <t>Gastos Financieros</t>
  </si>
  <si>
    <t>EBT o BAT</t>
  </si>
  <si>
    <t>Impuestos</t>
  </si>
  <si>
    <t>La tasa comprende PTU e IR</t>
  </si>
  <si>
    <t>Utilidad Neta</t>
  </si>
  <si>
    <t>Dividendos Declarados</t>
  </si>
  <si>
    <t>Utilidad Retenida</t>
  </si>
  <si>
    <t>Parámetros de Proyección de Balances</t>
  </si>
  <si>
    <t>Días de Cobro</t>
  </si>
  <si>
    <t>Días de Existencias</t>
  </si>
  <si>
    <t>Días de Pagos</t>
  </si>
  <si>
    <t>Ciclo de Efectivo</t>
  </si>
  <si>
    <t>Estado de Situación Financiera</t>
  </si>
  <si>
    <t>Activos</t>
  </si>
  <si>
    <t>Bancos</t>
  </si>
  <si>
    <t>Inversiones Temporales</t>
  </si>
  <si>
    <t>Clientes</t>
  </si>
  <si>
    <t>Existencias</t>
  </si>
  <si>
    <t>Total Activo Circulante</t>
  </si>
  <si>
    <t>Propiedad, Planta y Equipo</t>
  </si>
  <si>
    <t>Se invierte tanto como se deprecia</t>
  </si>
  <si>
    <t>Depreciación Acumulada</t>
  </si>
  <si>
    <t>Total Activo Fijo Neto (AFN)</t>
  </si>
  <si>
    <t>Total Activos</t>
  </si>
  <si>
    <t>Pasivos</t>
  </si>
  <si>
    <t>Proveedores</t>
  </si>
  <si>
    <t>Impuestos por pagar</t>
  </si>
  <si>
    <t>Deuda de Corto Plazo (DCP)</t>
  </si>
  <si>
    <t>Total Pasivos Corrientes</t>
  </si>
  <si>
    <t>Deudas de Largo Plazo (DLP)</t>
  </si>
  <si>
    <t>Total Pasivos</t>
  </si>
  <si>
    <t>Patrimonio</t>
  </si>
  <si>
    <t>Capital Social</t>
  </si>
  <si>
    <t>Utilidad del Ejercicio</t>
  </si>
  <si>
    <t>Utilidad Acumulada</t>
  </si>
  <si>
    <t>Total Patrimonio</t>
  </si>
  <si>
    <t>Total Pasivos y Patrimonio</t>
  </si>
  <si>
    <t>ESF Resumido</t>
  </si>
  <si>
    <t>Caja Excedente</t>
  </si>
  <si>
    <t>NOF</t>
  </si>
  <si>
    <t>AFN</t>
  </si>
  <si>
    <t>Total Activo Neto</t>
  </si>
  <si>
    <t>DCP</t>
  </si>
  <si>
    <t>DLP</t>
  </si>
  <si>
    <t>E</t>
  </si>
  <si>
    <t>Total Financiamiento</t>
  </si>
  <si>
    <t>Análisis de Financiamiento</t>
  </si>
  <si>
    <t>FM</t>
  </si>
  <si>
    <t>Excedente de Caja (FM-NOF&gt;0) o</t>
  </si>
  <si>
    <t>Recursos a Negociar (FM-NOF&lt;0)</t>
  </si>
  <si>
    <t>Ratios de Rentabilidad</t>
  </si>
  <si>
    <t>ROS</t>
  </si>
  <si>
    <t>ROA</t>
  </si>
  <si>
    <t>ROIC</t>
  </si>
  <si>
    <t>ROE</t>
  </si>
  <si>
    <t>Ratios de Operación</t>
  </si>
  <si>
    <t>Rotación de Activos</t>
  </si>
  <si>
    <t>Cobertura de NOF</t>
  </si>
  <si>
    <t>Ratios de Endeudamiento</t>
  </si>
  <si>
    <t>Estado de Flujos de Efectivo</t>
  </si>
  <si>
    <t>FLUJOS ACT. OPERACIÓN</t>
  </si>
  <si>
    <t>Ingresos Operativos</t>
  </si>
  <si>
    <t>Ventas al contado</t>
  </si>
  <si>
    <t>Ingresos por Inversiones Temporales</t>
  </si>
  <si>
    <t>Total Ingresos Operativos</t>
  </si>
  <si>
    <t>Egresos Operativos</t>
  </si>
  <si>
    <t>Compras al contado</t>
  </si>
  <si>
    <t>Total Egresos Operativos</t>
  </si>
  <si>
    <t>Flujo Operativo Primario</t>
  </si>
  <si>
    <t>Flujo de saldo mínimo en Bancos</t>
  </si>
  <si>
    <t>Flujo Operativo Neto</t>
  </si>
  <si>
    <t>FLUJOS ACT. INVERSION</t>
  </si>
  <si>
    <t>Ingresos por venta de Act. Fijos</t>
  </si>
  <si>
    <t>Egresos por compra de Act. Fijos</t>
  </si>
  <si>
    <t>Flujo de Inversión Neto</t>
  </si>
  <si>
    <t>FLUJO DE EFECTIVO DEL ACTIVO</t>
  </si>
  <si>
    <t>FLUJOS ACT. FINANCIAMIENTO</t>
  </si>
  <si>
    <t>Ingresos por Contratación Deudas</t>
  </si>
  <si>
    <t>Egresos por Amortización Deudas</t>
  </si>
  <si>
    <t>Egresos por Pago de Intereses</t>
  </si>
  <si>
    <t>Flujo del Pasivo</t>
  </si>
  <si>
    <t>Ingresos por Aportes de Capital</t>
  </si>
  <si>
    <t>Egresos por Retiros de Capital</t>
  </si>
  <si>
    <t>Egresos por Pago de Dividendos</t>
  </si>
  <si>
    <t>Flujo del Patrimonio</t>
  </si>
  <si>
    <t>FLUJO DE EFECTIVO DEL FINANCIAMIENTO</t>
  </si>
  <si>
    <t>Flujo de Efectivo Neto</t>
  </si>
  <si>
    <t>Flujo de Efectivo Acumulado</t>
  </si>
  <si>
    <t>EFE Resumido</t>
  </si>
  <si>
    <t>Flujos de Act. Operación</t>
  </si>
  <si>
    <t>Flujos de Act. Inversión</t>
  </si>
  <si>
    <t>Flujo de Efectivo del Activo</t>
  </si>
  <si>
    <t>Flujos de Pasivo</t>
  </si>
  <si>
    <t>Flujos de Patrimonio</t>
  </si>
  <si>
    <t>Flujo de Efectivo del Financiamiento</t>
  </si>
  <si>
    <t>Flujo Neto</t>
  </si>
  <si>
    <t>Flujo Acumulado</t>
  </si>
  <si>
    <t>Valoración de la Empresa</t>
  </si>
  <si>
    <t>Tasa Libre de Riesgo actual</t>
  </si>
  <si>
    <t>Coeficiente beta desapalancado</t>
  </si>
  <si>
    <t>Rendimiento de Mercado</t>
  </si>
  <si>
    <t>Tasa Libre de Riesgo prom histórica</t>
  </si>
  <si>
    <t>Tasa de Descuento</t>
  </si>
  <si>
    <t>NOPAT último periodo</t>
  </si>
  <si>
    <t>Flujo Normativo</t>
  </si>
  <si>
    <t>Valor Terminal</t>
  </si>
  <si>
    <t>Flujo de Caja para Valoración</t>
  </si>
  <si>
    <t>Valor de la Empresa</t>
  </si>
  <si>
    <t>Beneficio Neto</t>
  </si>
  <si>
    <t>Ajustes por Depreciación</t>
  </si>
  <si>
    <t>Ajustes por Gastos Financieros</t>
  </si>
  <si>
    <t>Variación Excedentes</t>
  </si>
  <si>
    <t>Variación NOF</t>
  </si>
  <si>
    <t>Variación Activos Fijos</t>
  </si>
  <si>
    <t>Flujo de Caja del Activo</t>
  </si>
  <si>
    <t>Flujo de Caja a Perpetuidad</t>
  </si>
  <si>
    <t>Crecimiento gastos adm.</t>
  </si>
  <si>
    <t>Crecimiento gastos venta</t>
  </si>
  <si>
    <t>Igual al inventario en balance</t>
  </si>
  <si>
    <t>Tasa de impago gastos adm.</t>
  </si>
  <si>
    <t>Tasa de impago gastos venta</t>
  </si>
  <si>
    <t>Gastos Adm. Acumulados</t>
  </si>
  <si>
    <t>Gastos Venta Acumulados</t>
  </si>
  <si>
    <t>Gastos Adm. pagados</t>
  </si>
  <si>
    <t>Gastos Venta pagados</t>
  </si>
  <si>
    <t>Impuestos pagados</t>
  </si>
  <si>
    <t>Caja mínima 5%; MAX US$ 1000</t>
  </si>
  <si>
    <t>Política de Distribución: 60%</t>
  </si>
  <si>
    <t>Aporte de capital del 60% de la inversión inicial</t>
  </si>
  <si>
    <t>Crédito por el 40% de la inversión inicial</t>
  </si>
  <si>
    <t>Total Ingresos</t>
  </si>
  <si>
    <t>Rendimiento de inversiones del 2%</t>
  </si>
  <si>
    <t>Ventas iniciales de US$ 25,000</t>
  </si>
  <si>
    <t>Endeudamiento (D/A)</t>
  </si>
  <si>
    <t>Endeudamiento (A/Pt)</t>
  </si>
  <si>
    <t>Inversión Inicial US$ 50,000</t>
  </si>
  <si>
    <t>De acuerdo a margen bruto sobre ingresos</t>
  </si>
  <si>
    <t>Gastos iniciales de US$ 2,000</t>
  </si>
  <si>
    <t>Gastos iniciales de US$ 1,000</t>
  </si>
  <si>
    <t>Equivalente al 5% de los AFN</t>
  </si>
  <si>
    <t>Crédito a 10 años al 10% anual</t>
  </si>
  <si>
    <t>VALORACION DE LA EMPRESA</t>
  </si>
  <si>
    <t>Flujo de la Empresa</t>
  </si>
  <si>
    <t>Flujo de la Empresa a perpetuidad</t>
  </si>
  <si>
    <t>VALOR DEL ACTIVO (Valor Razonable)</t>
  </si>
  <si>
    <t>VALOR DE LA DEUDA (Valor Razonable)</t>
  </si>
  <si>
    <t>VALOR DEL PATRIMONIO (Valor Razonable)</t>
  </si>
  <si>
    <t>No. Acciones en Circulación</t>
  </si>
  <si>
    <t>VALOR POR ACCION</t>
  </si>
  <si>
    <t>Caja mínima 5% sobre venta, MIN US$ 1000</t>
  </si>
  <si>
    <t>Valoración de la Empresa
Supuesto: Negocio en Marcha</t>
  </si>
  <si>
    <t>Valor de Liquidación del Proyecto</t>
  </si>
  <si>
    <t>Valoración del Proyecto
Supuesto: Negocio en Marcha</t>
  </si>
  <si>
    <t>Valoración del Proyecto
Supuesto: Vida Limitada</t>
  </si>
  <si>
    <t>Valor del Proyecto</t>
  </si>
  <si>
    <t>sector entertaiment</t>
  </si>
  <si>
    <t>20 años o 7.200 dias</t>
  </si>
  <si>
    <t>EMBI Banco Central</t>
  </si>
  <si>
    <t>Tasa pasiva referencial</t>
  </si>
  <si>
    <t>TPR del BCE a mas de 1 año                               lo considero solo cuando sea un negocio de mayor riesgo</t>
  </si>
  <si>
    <t>TIR</t>
  </si>
  <si>
    <t>Valor de la deuda</t>
  </si>
  <si>
    <t>Valor del Patrimonio</t>
  </si>
  <si>
    <t>Valor de las acciones</t>
  </si>
  <si>
    <t>10 años o 3600 dias</t>
  </si>
  <si>
    <t>Le sumo el flujo de financiamiento de lo que estoy tomando como presente que son los 51000</t>
  </si>
  <si>
    <t>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</si>
</sst>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* #,##0.000000_ ;_ * \-#,##0.00000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5" fillId="3" borderId="8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164" fontId="3" fillId="0" borderId="9" xfId="1" applyFont="1" applyBorder="1" applyProtection="1"/>
    <xf numFmtId="0" fontId="4" fillId="0" borderId="7" xfId="0" applyFont="1" applyFill="1" applyBorder="1" applyProtection="1"/>
    <xf numFmtId="164" fontId="3" fillId="0" borderId="7" xfId="1" applyFont="1" applyBorder="1" applyProtection="1"/>
    <xf numFmtId="0" fontId="4" fillId="0" borderId="9" xfId="0" applyFont="1" applyFill="1" applyBorder="1" applyProtection="1"/>
    <xf numFmtId="164" fontId="3" fillId="0" borderId="1" xfId="1" applyFont="1" applyBorder="1" applyProtection="1"/>
    <xf numFmtId="0" fontId="3" fillId="0" borderId="7" xfId="0" applyFont="1" applyFill="1" applyBorder="1" applyProtection="1"/>
    <xf numFmtId="164" fontId="3" fillId="0" borderId="0" xfId="0" applyNumberFormat="1" applyFont="1" applyProtection="1"/>
    <xf numFmtId="0" fontId="4" fillId="0" borderId="1" xfId="0" applyFont="1" applyFill="1" applyBorder="1" applyProtection="1"/>
    <xf numFmtId="164" fontId="3" fillId="0" borderId="0" xfId="1" applyFont="1" applyAlignment="1" applyProtection="1"/>
    <xf numFmtId="164" fontId="3" fillId="0" borderId="0" xfId="1" applyFont="1" applyProtection="1"/>
    <xf numFmtId="164" fontId="2" fillId="0" borderId="0" xfId="1" applyFont="1" applyAlignment="1" applyProtection="1"/>
    <xf numFmtId="0" fontId="5" fillId="3" borderId="8" xfId="1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2" xfId="0" applyFont="1" applyBorder="1" applyProtection="1"/>
    <xf numFmtId="0" fontId="3" fillId="0" borderId="9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4" xfId="0" applyFont="1" applyBorder="1" applyProtection="1"/>
    <xf numFmtId="164" fontId="3" fillId="0" borderId="4" xfId="1" applyFont="1" applyBorder="1" applyProtection="1"/>
    <xf numFmtId="164" fontId="3" fillId="0" borderId="5" xfId="1" applyFont="1" applyBorder="1" applyProtection="1"/>
    <xf numFmtId="164" fontId="3" fillId="0" borderId="6" xfId="1" applyFont="1" applyBorder="1" applyProtection="1"/>
    <xf numFmtId="0" fontId="4" fillId="0" borderId="2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164" fontId="4" fillId="0" borderId="8" xfId="1" applyFont="1" applyBorder="1" applyProtection="1"/>
    <xf numFmtId="0" fontId="3" fillId="0" borderId="2" xfId="0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10" fontId="3" fillId="0" borderId="1" xfId="1" applyNumberFormat="1" applyFont="1" applyBorder="1" applyProtection="1"/>
    <xf numFmtId="10" fontId="3" fillId="0" borderId="9" xfId="1" applyNumberFormat="1" applyFont="1" applyBorder="1" applyProtection="1"/>
    <xf numFmtId="10" fontId="4" fillId="0" borderId="8" xfId="2" applyNumberFormat="1" applyFont="1" applyBorder="1" applyProtection="1"/>
    <xf numFmtId="0" fontId="4" fillId="0" borderId="8" xfId="0" applyFont="1" applyBorder="1" applyAlignment="1" applyProtection="1">
      <alignment horizontal="left"/>
    </xf>
    <xf numFmtId="165" fontId="3" fillId="0" borderId="9" xfId="1" applyNumberFormat="1" applyFont="1" applyBorder="1" applyProtection="1"/>
    <xf numFmtId="165" fontId="3" fillId="0" borderId="9" xfId="1" applyNumberFormat="1" applyFont="1" applyFill="1" applyBorder="1" applyProtection="1"/>
    <xf numFmtId="165" fontId="3" fillId="0" borderId="7" xfId="1" applyNumberFormat="1" applyFont="1" applyBorder="1" applyProtection="1"/>
    <xf numFmtId="165" fontId="3" fillId="0" borderId="1" xfId="1" applyNumberFormat="1" applyFont="1" applyBorder="1" applyProtection="1"/>
    <xf numFmtId="165" fontId="3" fillId="5" borderId="9" xfId="1" applyNumberFormat="1" applyFont="1" applyFill="1" applyBorder="1" applyProtection="1"/>
    <xf numFmtId="165" fontId="3" fillId="4" borderId="9" xfId="1" applyNumberFormat="1" applyFont="1" applyFill="1" applyBorder="1" applyProtection="1"/>
    <xf numFmtId="165" fontId="3" fillId="0" borderId="7" xfId="0" applyNumberFormat="1" applyFont="1" applyBorder="1" applyProtection="1"/>
    <xf numFmtId="165" fontId="4" fillId="0" borderId="7" xfId="0" applyNumberFormat="1" applyFont="1" applyBorder="1" applyProtection="1"/>
    <xf numFmtId="165" fontId="3" fillId="0" borderId="0" xfId="1" applyNumberFormat="1" applyFont="1" applyProtection="1"/>
    <xf numFmtId="165" fontId="3" fillId="0" borderId="1" xfId="0" applyNumberFormat="1" applyFont="1" applyBorder="1" applyProtection="1"/>
    <xf numFmtId="165" fontId="4" fillId="0" borderId="8" xfId="0" applyNumberFormat="1" applyFont="1" applyBorder="1" applyProtection="1"/>
    <xf numFmtId="165" fontId="3" fillId="0" borderId="9" xfId="0" applyNumberFormat="1" applyFont="1" applyBorder="1" applyProtection="1"/>
    <xf numFmtId="165" fontId="3" fillId="0" borderId="0" xfId="0" applyNumberFormat="1" applyFont="1" applyProtection="1"/>
    <xf numFmtId="165" fontId="3" fillId="0" borderId="13" xfId="0" applyNumberFormat="1" applyFont="1" applyBorder="1" applyProtection="1"/>
    <xf numFmtId="165" fontId="3" fillId="0" borderId="3" xfId="1" applyNumberFormat="1" applyFont="1" applyBorder="1" applyProtection="1"/>
    <xf numFmtId="165" fontId="3" fillId="0" borderId="10" xfId="1" applyNumberFormat="1" applyFont="1" applyBorder="1" applyProtection="1"/>
    <xf numFmtId="165" fontId="3" fillId="0" borderId="4" xfId="1" applyNumberFormat="1" applyFont="1" applyBorder="1" applyProtection="1"/>
    <xf numFmtId="165" fontId="3" fillId="0" borderId="5" xfId="1" applyNumberFormat="1" applyFont="1" applyBorder="1" applyProtection="1"/>
    <xf numFmtId="165" fontId="3" fillId="0" borderId="6" xfId="1" applyNumberFormat="1" applyFont="1" applyBorder="1" applyProtection="1"/>
    <xf numFmtId="165" fontId="4" fillId="0" borderId="8" xfId="1" applyNumberFormat="1" applyFont="1" applyBorder="1" applyProtection="1"/>
    <xf numFmtId="165" fontId="6" fillId="0" borderId="4" xfId="1" applyNumberFormat="1" applyFont="1" applyBorder="1" applyProtection="1"/>
    <xf numFmtId="165" fontId="6" fillId="0" borderId="5" xfId="1" applyNumberFormat="1" applyFont="1" applyBorder="1" applyProtection="1"/>
    <xf numFmtId="165" fontId="6" fillId="0" borderId="6" xfId="1" applyNumberFormat="1" applyFont="1" applyBorder="1" applyProtection="1"/>
    <xf numFmtId="165" fontId="4" fillId="0" borderId="7" xfId="1" applyNumberFormat="1" applyFont="1" applyBorder="1" applyProtection="1"/>
    <xf numFmtId="165" fontId="3" fillId="6" borderId="0" xfId="1" applyNumberFormat="1" applyFont="1" applyFill="1" applyProtection="1"/>
    <xf numFmtId="165" fontId="3" fillId="0" borderId="1" xfId="1" applyNumberFormat="1" applyFont="1" applyFill="1" applyBorder="1" applyProtection="1"/>
    <xf numFmtId="165" fontId="3" fillId="0" borderId="7" xfId="1" applyNumberFormat="1" applyFont="1" applyFill="1" applyBorder="1" applyProtection="1"/>
    <xf numFmtId="165" fontId="3" fillId="5" borderId="1" xfId="1" applyNumberFormat="1" applyFont="1" applyFill="1" applyBorder="1" applyProtection="1"/>
    <xf numFmtId="9" fontId="3" fillId="6" borderId="0" xfId="2" applyFont="1" applyFill="1" applyProtection="1"/>
    <xf numFmtId="9" fontId="3" fillId="6" borderId="0" xfId="2" applyNumberFormat="1" applyFont="1" applyFill="1" applyAlignment="1" applyProtection="1"/>
    <xf numFmtId="9" fontId="3" fillId="6" borderId="0" xfId="2" applyNumberFormat="1" applyFont="1" applyFill="1" applyProtection="1"/>
    <xf numFmtId="9" fontId="3" fillId="6" borderId="0" xfId="1" applyNumberFormat="1" applyFont="1" applyFill="1" applyProtection="1"/>
    <xf numFmtId="165" fontId="3" fillId="0" borderId="2" xfId="1" applyNumberFormat="1" applyFont="1" applyBorder="1" applyProtection="1"/>
    <xf numFmtId="165" fontId="3" fillId="0" borderId="12" xfId="1" applyNumberFormat="1" applyFont="1" applyBorder="1" applyProtection="1"/>
    <xf numFmtId="165" fontId="4" fillId="0" borderId="4" xfId="1" applyNumberFormat="1" applyFont="1" applyBorder="1" applyProtection="1"/>
    <xf numFmtId="165" fontId="4" fillId="0" borderId="11" xfId="1" applyNumberFormat="1" applyFont="1" applyBorder="1" applyProtection="1"/>
    <xf numFmtId="165" fontId="3" fillId="0" borderId="8" xfId="1" applyNumberFormat="1" applyFont="1" applyFill="1" applyBorder="1" applyProtection="1"/>
    <xf numFmtId="165" fontId="3" fillId="5" borderId="7" xfId="1" applyNumberFormat="1" applyFont="1" applyFill="1" applyBorder="1" applyProtection="1"/>
    <xf numFmtId="165" fontId="3" fillId="5" borderId="7" xfId="0" applyNumberFormat="1" applyFont="1" applyFill="1" applyBorder="1" applyProtection="1"/>
    <xf numFmtId="165" fontId="3" fillId="5" borderId="7" xfId="1" applyNumberFormat="1" applyFont="1" applyFill="1" applyBorder="1" applyAlignment="1" applyProtection="1">
      <alignment horizontal="left"/>
    </xf>
    <xf numFmtId="165" fontId="3" fillId="5" borderId="1" xfId="1" applyNumberFormat="1" applyFont="1" applyFill="1" applyBorder="1" applyAlignment="1" applyProtection="1"/>
    <xf numFmtId="0" fontId="3" fillId="0" borderId="1" xfId="0" applyFont="1" applyFill="1" applyBorder="1" applyProtection="1"/>
    <xf numFmtId="164" fontId="3" fillId="7" borderId="0" xfId="1" applyFont="1" applyFill="1" applyProtection="1"/>
    <xf numFmtId="0" fontId="5" fillId="8" borderId="8" xfId="0" applyFont="1" applyFill="1" applyBorder="1" applyAlignment="1" applyProtection="1">
      <alignment horizontal="center"/>
    </xf>
    <xf numFmtId="165" fontId="3" fillId="9" borderId="9" xfId="1" applyNumberFormat="1" applyFont="1" applyFill="1" applyBorder="1" applyProtection="1"/>
    <xf numFmtId="9" fontId="3" fillId="7" borderId="0" xfId="2" applyFont="1" applyFill="1" applyProtection="1"/>
    <xf numFmtId="9" fontId="3" fillId="7" borderId="0" xfId="2" applyNumberFormat="1" applyFont="1" applyFill="1" applyProtection="1"/>
    <xf numFmtId="165" fontId="3" fillId="0" borderId="10" xfId="1" applyNumberFormat="1" applyFont="1" applyFill="1" applyBorder="1" applyProtection="1"/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5" fillId="3" borderId="6" xfId="0" applyFont="1" applyFill="1" applyBorder="1" applyAlignment="1" applyProtection="1"/>
    <xf numFmtId="165" fontId="3" fillId="5" borderId="3" xfId="1" applyNumberFormat="1" applyFont="1" applyFill="1" applyBorder="1" applyProtection="1"/>
    <xf numFmtId="165" fontId="3" fillId="0" borderId="14" xfId="1" applyNumberFormat="1" applyFont="1" applyFill="1" applyBorder="1" applyProtection="1"/>
    <xf numFmtId="165" fontId="3" fillId="5" borderId="10" xfId="1" applyNumberFormat="1" applyFont="1" applyFill="1" applyBorder="1" applyProtection="1"/>
    <xf numFmtId="165" fontId="3" fillId="0" borderId="3" xfId="1" applyNumberFormat="1" applyFont="1" applyFill="1" applyBorder="1" applyProtection="1"/>
    <xf numFmtId="165" fontId="3" fillId="4" borderId="10" xfId="1" applyNumberFormat="1" applyFont="1" applyFill="1" applyBorder="1" applyProtection="1"/>
    <xf numFmtId="165" fontId="3" fillId="0" borderId="0" xfId="1" applyNumberFormat="1" applyFont="1" applyFill="1" applyProtection="1"/>
    <xf numFmtId="165" fontId="3" fillId="0" borderId="14" xfId="0" applyNumberFormat="1" applyFont="1" applyBorder="1" applyProtection="1"/>
    <xf numFmtId="165" fontId="3" fillId="5" borderId="3" xfId="1" applyNumberFormat="1" applyFont="1" applyFill="1" applyBorder="1" applyAlignment="1" applyProtection="1"/>
    <xf numFmtId="165" fontId="4" fillId="0" borderId="14" xfId="0" applyNumberFormat="1" applyFont="1" applyBorder="1" applyProtection="1"/>
    <xf numFmtId="165" fontId="4" fillId="0" borderId="6" xfId="0" applyNumberFormat="1" applyFont="1" applyBorder="1" applyProtection="1"/>
    <xf numFmtId="165" fontId="3" fillId="5" borderId="14" xfId="1" applyNumberFormat="1" applyFont="1" applyFill="1" applyBorder="1" applyProtection="1"/>
    <xf numFmtId="165" fontId="3" fillId="5" borderId="14" xfId="0" applyNumberFormat="1" applyFont="1" applyFill="1" applyBorder="1" applyProtection="1"/>
    <xf numFmtId="165" fontId="3" fillId="0" borderId="6" xfId="1" applyNumberFormat="1" applyFont="1" applyFill="1" applyBorder="1" applyProtection="1"/>
    <xf numFmtId="165" fontId="3" fillId="0" borderId="5" xfId="1" applyNumberFormat="1" applyFont="1" applyFill="1" applyBorder="1" applyProtection="1"/>
    <xf numFmtId="165" fontId="6" fillId="0" borderId="5" xfId="1" applyNumberFormat="1" applyFont="1" applyFill="1" applyBorder="1" applyProtection="1"/>
    <xf numFmtId="164" fontId="5" fillId="8" borderId="4" xfId="1" applyFont="1" applyFill="1" applyBorder="1" applyAlignment="1" applyProtection="1"/>
    <xf numFmtId="164" fontId="5" fillId="8" borderId="5" xfId="1" applyFont="1" applyFill="1" applyBorder="1" applyAlignment="1" applyProtection="1"/>
    <xf numFmtId="164" fontId="5" fillId="8" borderId="6" xfId="1" applyFont="1" applyFill="1" applyBorder="1" applyAlignment="1" applyProtection="1"/>
    <xf numFmtId="165" fontId="3" fillId="9" borderId="10" xfId="1" applyNumberFormat="1" applyFont="1" applyFill="1" applyBorder="1" applyProtection="1"/>
    <xf numFmtId="165" fontId="3" fillId="0" borderId="14" xfId="1" applyNumberFormat="1" applyFont="1" applyBorder="1" applyProtection="1"/>
    <xf numFmtId="165" fontId="4" fillId="0" borderId="6" xfId="1" applyNumberFormat="1" applyFont="1" applyBorder="1" applyProtection="1"/>
    <xf numFmtId="165" fontId="4" fillId="0" borderId="14" xfId="1" applyNumberFormat="1" applyFont="1" applyBorder="1" applyProtection="1"/>
    <xf numFmtId="0" fontId="3" fillId="0" borderId="0" xfId="0" applyFont="1" applyBorder="1" applyProtection="1"/>
    <xf numFmtId="165" fontId="3" fillId="0" borderId="5" xfId="1" applyNumberFormat="1" applyFont="1" applyFill="1" applyBorder="1" applyAlignment="1" applyProtection="1"/>
    <xf numFmtId="0" fontId="3" fillId="0" borderId="8" xfId="0" applyFont="1" applyBorder="1" applyProtection="1"/>
    <xf numFmtId="10" fontId="4" fillId="0" borderId="0" xfId="2" applyNumberFormat="1" applyFont="1" applyBorder="1" applyProtection="1"/>
    <xf numFmtId="165" fontId="7" fillId="0" borderId="5" xfId="1" applyNumberFormat="1" applyFont="1" applyBorder="1" applyProtection="1"/>
    <xf numFmtId="165" fontId="7" fillId="0" borderId="6" xfId="1" applyNumberFormat="1" applyFont="1" applyBorder="1" applyProtection="1"/>
    <xf numFmtId="165" fontId="3" fillId="0" borderId="12" xfId="0" applyNumberFormat="1" applyFont="1" applyBorder="1" applyProtection="1"/>
    <xf numFmtId="0" fontId="3" fillId="7" borderId="0" xfId="2" applyNumberFormat="1" applyFont="1" applyFill="1" applyProtection="1"/>
    <xf numFmtId="10" fontId="3" fillId="7" borderId="0" xfId="2" applyNumberFormat="1" applyFont="1" applyFill="1" applyProtection="1"/>
    <xf numFmtId="0" fontId="3" fillId="10" borderId="9" xfId="0" applyFont="1" applyFill="1" applyBorder="1" applyProtection="1"/>
    <xf numFmtId="10" fontId="3" fillId="10" borderId="9" xfId="1" applyNumberFormat="1" applyFont="1" applyFill="1" applyBorder="1" applyProtection="1"/>
    <xf numFmtId="164" fontId="3" fillId="10" borderId="12" xfId="1" applyFont="1" applyFill="1" applyBorder="1" applyAlignment="1" applyProtection="1"/>
    <xf numFmtId="164" fontId="3" fillId="10" borderId="0" xfId="1" applyFont="1" applyFill="1" applyAlignment="1" applyProtection="1"/>
    <xf numFmtId="164" fontId="3" fillId="10" borderId="10" xfId="1" applyFont="1" applyFill="1" applyBorder="1" applyAlignment="1" applyProtection="1"/>
    <xf numFmtId="9" fontId="4" fillId="10" borderId="0" xfId="2" applyFont="1" applyFill="1" applyProtection="1"/>
    <xf numFmtId="9" fontId="4" fillId="11" borderId="0" xfId="2" applyFont="1" applyFill="1" applyProtection="1"/>
    <xf numFmtId="165" fontId="3" fillId="0" borderId="8" xfId="0" applyNumberFormat="1" applyFont="1" applyBorder="1" applyProtection="1"/>
    <xf numFmtId="0" fontId="3" fillId="7" borderId="0" xfId="1" applyNumberFormat="1" applyFont="1" applyFill="1" applyProtection="1"/>
    <xf numFmtId="2" fontId="3" fillId="7" borderId="0" xfId="1" applyNumberFormat="1" applyFont="1" applyFill="1" applyProtection="1"/>
    <xf numFmtId="4" fontId="3" fillId="7" borderId="0" xfId="2" applyNumberFormat="1" applyFont="1" applyFill="1" applyProtection="1"/>
    <xf numFmtId="165" fontId="4" fillId="0" borderId="5" xfId="1" applyNumberFormat="1" applyFont="1" applyFill="1" applyBorder="1" applyProtection="1"/>
    <xf numFmtId="165" fontId="4" fillId="0" borderId="5" xfId="1" applyNumberFormat="1" applyFont="1" applyBorder="1" applyProtection="1"/>
    <xf numFmtId="166" fontId="4" fillId="0" borderId="0" xfId="0" applyNumberFormat="1" applyFont="1" applyBorder="1" applyProtection="1"/>
    <xf numFmtId="2" fontId="3" fillId="7" borderId="0" xfId="2" applyNumberFormat="1" applyFont="1" applyFill="1" applyProtection="1"/>
    <xf numFmtId="3" fontId="3" fillId="0" borderId="8" xfId="0" applyNumberFormat="1" applyFont="1" applyBorder="1" applyProtection="1"/>
    <xf numFmtId="2" fontId="3" fillId="0" borderId="8" xfId="0" applyNumberFormat="1" applyFont="1" applyBorder="1" applyProtection="1"/>
    <xf numFmtId="0" fontId="0" fillId="11" borderId="0" xfId="0" applyFill="1"/>
    <xf numFmtId="0" fontId="2" fillId="11" borderId="0" xfId="0" applyFont="1" applyFill="1" applyProtection="1"/>
    <xf numFmtId="0" fontId="3" fillId="11" borderId="0" xfId="0" applyFont="1" applyFill="1" applyProtection="1"/>
    <xf numFmtId="165" fontId="3" fillId="11" borderId="0" xfId="0" applyNumberFormat="1" applyFont="1" applyFill="1" applyProtection="1"/>
    <xf numFmtId="0" fontId="3" fillId="11" borderId="1" xfId="0" applyFont="1" applyFill="1" applyBorder="1" applyProtection="1"/>
    <xf numFmtId="165" fontId="3" fillId="11" borderId="3" xfId="1" applyNumberFormat="1" applyFont="1" applyFill="1" applyBorder="1" applyProtection="1"/>
    <xf numFmtId="0" fontId="3" fillId="11" borderId="9" xfId="0" applyFont="1" applyFill="1" applyBorder="1" applyProtection="1"/>
    <xf numFmtId="165" fontId="3" fillId="11" borderId="10" xfId="1" applyNumberFormat="1" applyFont="1" applyFill="1" applyBorder="1" applyProtection="1"/>
    <xf numFmtId="0" fontId="4" fillId="11" borderId="7" xfId="0" applyFont="1" applyFill="1" applyBorder="1" applyProtection="1"/>
    <xf numFmtId="165" fontId="3" fillId="11" borderId="9" xfId="1" applyNumberFormat="1" applyFont="1" applyFill="1" applyBorder="1" applyProtection="1"/>
    <xf numFmtId="165" fontId="3" fillId="11" borderId="14" xfId="1" applyNumberFormat="1" applyFont="1" applyFill="1" applyBorder="1" applyProtection="1"/>
    <xf numFmtId="0" fontId="4" fillId="11" borderId="9" xfId="0" applyFont="1" applyFill="1" applyBorder="1" applyProtection="1"/>
    <xf numFmtId="0" fontId="3" fillId="11" borderId="7" xfId="0" applyFont="1" applyFill="1" applyBorder="1" applyProtection="1"/>
    <xf numFmtId="165" fontId="3" fillId="11" borderId="7" xfId="1" applyNumberFormat="1" applyFont="1" applyFill="1" applyBorder="1" applyProtection="1"/>
    <xf numFmtId="165" fontId="3" fillId="11" borderId="14" xfId="0" applyNumberFormat="1" applyFont="1" applyFill="1" applyBorder="1" applyProtection="1"/>
    <xf numFmtId="0" fontId="4" fillId="11" borderId="1" xfId="0" applyFont="1" applyFill="1" applyBorder="1" applyProtection="1"/>
    <xf numFmtId="165" fontId="3" fillId="11" borderId="6" xfId="1" applyNumberFormat="1" applyFont="1" applyFill="1" applyBorder="1" applyProtection="1"/>
    <xf numFmtId="164" fontId="3" fillId="11" borderId="0" xfId="1" applyFont="1" applyFill="1" applyAlignment="1" applyProtection="1"/>
    <xf numFmtId="164" fontId="3" fillId="11" borderId="0" xfId="1" applyFont="1" applyFill="1" applyProtection="1"/>
    <xf numFmtId="164" fontId="2" fillId="11" borderId="0" xfId="1" applyFont="1" applyFill="1" applyAlignment="1" applyProtection="1"/>
    <xf numFmtId="165" fontId="3" fillId="11" borderId="0" xfId="1" applyNumberFormat="1" applyFont="1" applyFill="1" applyProtection="1"/>
    <xf numFmtId="165" fontId="3" fillId="11" borderId="1" xfId="1" applyNumberFormat="1" applyFont="1" applyFill="1" applyBorder="1" applyProtection="1"/>
    <xf numFmtId="165" fontId="3" fillId="11" borderId="7" xfId="0" applyNumberFormat="1" applyFont="1" applyFill="1" applyBorder="1" applyProtection="1"/>
    <xf numFmtId="0" fontId="6" fillId="11" borderId="0" xfId="0" applyFont="1" applyFill="1" applyProtection="1"/>
    <xf numFmtId="0" fontId="4" fillId="11" borderId="2" xfId="0" applyFont="1" applyFill="1" applyBorder="1" applyProtection="1"/>
    <xf numFmtId="0" fontId="3" fillId="11" borderId="12" xfId="0" applyFont="1" applyFill="1" applyBorder="1" applyProtection="1"/>
    <xf numFmtId="0" fontId="4" fillId="11" borderId="11" xfId="0" applyFont="1" applyFill="1" applyBorder="1" applyProtection="1"/>
    <xf numFmtId="0" fontId="3" fillId="11" borderId="2" xfId="0" applyFont="1" applyFill="1" applyBorder="1" applyProtection="1"/>
    <xf numFmtId="0" fontId="4" fillId="11" borderId="12" xfId="0" applyFont="1" applyFill="1" applyBorder="1" applyProtection="1"/>
    <xf numFmtId="0" fontId="4" fillId="11" borderId="4" xfId="0" applyFont="1" applyFill="1" applyBorder="1" applyProtection="1"/>
    <xf numFmtId="165" fontId="4" fillId="11" borderId="8" xfId="0" applyNumberFormat="1" applyFont="1" applyFill="1" applyBorder="1" applyProtection="1"/>
    <xf numFmtId="0" fontId="4" fillId="11" borderId="0" xfId="0" applyFont="1" applyFill="1" applyBorder="1" applyProtection="1"/>
    <xf numFmtId="164" fontId="4" fillId="11" borderId="0" xfId="0" applyNumberFormat="1" applyFont="1" applyFill="1" applyBorder="1" applyProtection="1"/>
    <xf numFmtId="0" fontId="3" fillId="11" borderId="2" xfId="0" applyFont="1" applyFill="1" applyBorder="1" applyAlignment="1" applyProtection="1">
      <alignment horizontal="right"/>
    </xf>
    <xf numFmtId="165" fontId="3" fillId="11" borderId="1" xfId="0" applyNumberFormat="1" applyFont="1" applyFill="1" applyBorder="1" applyProtection="1"/>
    <xf numFmtId="0" fontId="3" fillId="11" borderId="12" xfId="0" applyFont="1" applyFill="1" applyBorder="1" applyAlignment="1" applyProtection="1">
      <alignment horizontal="right"/>
    </xf>
    <xf numFmtId="165" fontId="3" fillId="11" borderId="9" xfId="0" applyNumberFormat="1" applyFont="1" applyFill="1" applyBorder="1" applyProtection="1"/>
    <xf numFmtId="0" fontId="4" fillId="11" borderId="8" xfId="0" applyFont="1" applyFill="1" applyBorder="1" applyAlignment="1" applyProtection="1">
      <alignment horizontal="right"/>
    </xf>
    <xf numFmtId="0" fontId="4" fillId="11" borderId="12" xfId="0" applyFont="1" applyFill="1" applyBorder="1" applyAlignment="1" applyProtection="1">
      <alignment horizontal="right"/>
    </xf>
    <xf numFmtId="164" fontId="3" fillId="11" borderId="0" xfId="0" applyNumberFormat="1" applyFont="1" applyFill="1" applyProtection="1"/>
    <xf numFmtId="0" fontId="3" fillId="11" borderId="0" xfId="0" applyFont="1" applyFill="1" applyAlignment="1" applyProtection="1">
      <alignment horizontal="right"/>
    </xf>
    <xf numFmtId="164" fontId="3" fillId="11" borderId="5" xfId="1" applyFont="1" applyFill="1" applyBorder="1" applyProtection="1"/>
    <xf numFmtId="164" fontId="3" fillId="11" borderId="6" xfId="1" applyFont="1" applyFill="1" applyBorder="1" applyProtection="1"/>
    <xf numFmtId="165" fontId="3" fillId="11" borderId="5" xfId="1" applyNumberFormat="1" applyFont="1" applyFill="1" applyBorder="1" applyProtection="1"/>
    <xf numFmtId="165" fontId="4" fillId="11" borderId="8" xfId="1" applyNumberFormat="1" applyFont="1" applyFill="1" applyBorder="1" applyProtection="1"/>
    <xf numFmtId="165" fontId="4" fillId="11" borderId="0" xfId="1" applyNumberFormat="1" applyFont="1" applyFill="1" applyAlignment="1" applyProtection="1">
      <alignment horizontal="left"/>
    </xf>
    <xf numFmtId="165" fontId="3" fillId="11" borderId="5" xfId="1" applyNumberFormat="1" applyFont="1" applyFill="1" applyBorder="1" applyAlignment="1" applyProtection="1"/>
    <xf numFmtId="0" fontId="3" fillId="11" borderId="0" xfId="0" applyFont="1" applyFill="1" applyBorder="1" applyProtection="1"/>
    <xf numFmtId="165" fontId="4" fillId="11" borderId="7" xfId="1" applyNumberFormat="1" applyFont="1" applyFill="1" applyBorder="1" applyProtection="1"/>
    <xf numFmtId="165" fontId="4" fillId="11" borderId="14" xfId="1" applyNumberFormat="1" applyFont="1" applyFill="1" applyBorder="1" applyProtection="1"/>
    <xf numFmtId="0" fontId="3" fillId="11" borderId="1" xfId="0" applyFont="1" applyFill="1" applyBorder="1" applyAlignment="1" applyProtection="1">
      <alignment horizontal="right"/>
    </xf>
    <xf numFmtId="165" fontId="3" fillId="11" borderId="2" xfId="1" applyNumberFormat="1" applyFont="1" applyFill="1" applyBorder="1" applyProtection="1"/>
    <xf numFmtId="0" fontId="3" fillId="11" borderId="9" xfId="0" applyFont="1" applyFill="1" applyBorder="1" applyAlignment="1" applyProtection="1">
      <alignment horizontal="right"/>
    </xf>
    <xf numFmtId="165" fontId="3" fillId="11" borderId="12" xfId="1" applyNumberFormat="1" applyFont="1" applyFill="1" applyBorder="1" applyProtection="1"/>
    <xf numFmtId="165" fontId="4" fillId="11" borderId="4" xfId="1" applyNumberFormat="1" applyFont="1" applyFill="1" applyBorder="1" applyProtection="1"/>
    <xf numFmtId="0" fontId="4" fillId="11" borderId="7" xfId="0" applyFont="1" applyFill="1" applyBorder="1" applyAlignment="1" applyProtection="1">
      <alignment horizontal="right"/>
    </xf>
    <xf numFmtId="165" fontId="3" fillId="11" borderId="13" xfId="0" applyNumberFormat="1" applyFont="1" applyFill="1" applyBorder="1" applyProtection="1"/>
    <xf numFmtId="0" fontId="3" fillId="11" borderId="8" xfId="0" applyFont="1" applyFill="1" applyBorder="1" applyProtection="1"/>
    <xf numFmtId="10" fontId="3" fillId="11" borderId="1" xfId="1" applyNumberFormat="1" applyFont="1" applyFill="1" applyBorder="1" applyProtection="1"/>
    <xf numFmtId="164" fontId="3" fillId="11" borderId="9" xfId="1" applyFont="1" applyFill="1" applyBorder="1" applyProtection="1"/>
    <xf numFmtId="10" fontId="3" fillId="11" borderId="9" xfId="1" applyNumberFormat="1" applyFont="1" applyFill="1" applyBorder="1" applyProtection="1"/>
    <xf numFmtId="0" fontId="4" fillId="11" borderId="8" xfId="0" applyFont="1" applyFill="1" applyBorder="1" applyProtection="1"/>
    <xf numFmtId="10" fontId="4" fillId="11" borderId="8" xfId="2" applyNumberFormat="1" applyFont="1" applyFill="1" applyBorder="1" applyProtection="1"/>
    <xf numFmtId="10" fontId="4" fillId="11" borderId="0" xfId="2" applyNumberFormat="1" applyFont="1" applyFill="1" applyBorder="1" applyProtection="1"/>
    <xf numFmtId="165" fontId="3" fillId="11" borderId="8" xfId="0" applyNumberFormat="1" applyFont="1" applyFill="1" applyBorder="1" applyProtection="1"/>
    <xf numFmtId="9" fontId="3" fillId="11" borderId="0" xfId="2" applyFont="1" applyFill="1" applyProtection="1"/>
    <xf numFmtId="0" fontId="8" fillId="10" borderId="0" xfId="0" applyFont="1" applyFill="1" applyProtection="1"/>
    <xf numFmtId="0" fontId="8" fillId="11" borderId="0" xfId="0" applyFont="1" applyFill="1" applyProtection="1"/>
    <xf numFmtId="0" fontId="5" fillId="12" borderId="8" xfId="0" applyFont="1" applyFill="1" applyBorder="1" applyAlignment="1" applyProtection="1">
      <alignment horizontal="center"/>
    </xf>
    <xf numFmtId="0" fontId="5" fillId="13" borderId="4" xfId="0" applyFont="1" applyFill="1" applyBorder="1" applyAlignment="1" applyProtection="1">
      <alignment horizontal="center"/>
    </xf>
    <xf numFmtId="0" fontId="5" fillId="13" borderId="8" xfId="0" applyFont="1" applyFill="1" applyBorder="1" applyAlignment="1" applyProtection="1">
      <alignment horizontal="center"/>
    </xf>
    <xf numFmtId="164" fontId="5" fillId="12" borderId="4" xfId="1" applyFont="1" applyFill="1" applyBorder="1" applyAlignment="1" applyProtection="1">
      <alignment horizontal="center"/>
    </xf>
    <xf numFmtId="165" fontId="3" fillId="14" borderId="10" xfId="1" applyNumberFormat="1" applyFont="1" applyFill="1" applyBorder="1" applyProtection="1"/>
    <xf numFmtId="165" fontId="3" fillId="14" borderId="14" xfId="1" applyNumberFormat="1" applyFont="1" applyFill="1" applyBorder="1" applyProtection="1"/>
    <xf numFmtId="165" fontId="3" fillId="14" borderId="3" xfId="1" applyNumberFormat="1" applyFont="1" applyFill="1" applyBorder="1" applyProtection="1"/>
    <xf numFmtId="165" fontId="3" fillId="14" borderId="1" xfId="1" applyNumberFormat="1" applyFont="1" applyFill="1" applyBorder="1" applyAlignment="1" applyProtection="1"/>
    <xf numFmtId="165" fontId="3" fillId="14" borderId="9" xfId="1" applyNumberFormat="1" applyFont="1" applyFill="1" applyBorder="1" applyProtection="1"/>
    <xf numFmtId="165" fontId="3" fillId="15" borderId="8" xfId="0" applyNumberFormat="1" applyFont="1" applyFill="1" applyBorder="1" applyProtection="1"/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164" fontId="5" fillId="8" borderId="4" xfId="1" applyFont="1" applyFill="1" applyBorder="1" applyAlignment="1" applyProtection="1">
      <alignment horizontal="center"/>
    </xf>
    <xf numFmtId="164" fontId="5" fillId="8" borderId="5" xfId="1" applyFont="1" applyFill="1" applyBorder="1" applyAlignment="1" applyProtection="1">
      <alignment horizontal="center"/>
    </xf>
    <xf numFmtId="164" fontId="5" fillId="8" borderId="6" xfId="1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164" fontId="5" fillId="3" borderId="4" xfId="1" applyFont="1" applyFill="1" applyBorder="1" applyAlignment="1" applyProtection="1">
      <alignment horizontal="center"/>
    </xf>
    <xf numFmtId="164" fontId="5" fillId="3" borderId="5" xfId="1" applyFont="1" applyFill="1" applyBorder="1" applyAlignment="1" applyProtection="1">
      <alignment horizontal="center"/>
    </xf>
    <xf numFmtId="164" fontId="5" fillId="3" borderId="6" xfId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horizontal="center" vertical="center"/>
    </xf>
    <xf numFmtId="0" fontId="0" fillId="0" borderId="5" xfId="0" applyBorder="1"/>
    <xf numFmtId="0" fontId="4" fillId="11" borderId="2" xfId="0" applyFont="1" applyFill="1" applyBorder="1" applyAlignment="1" applyProtection="1">
      <alignment horizontal="center" vertical="center"/>
    </xf>
    <xf numFmtId="0" fontId="4" fillId="11" borderId="11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66FFFF"/>
      <color rgb="FF006600"/>
      <color rgb="FF66FF66"/>
      <color rgb="FF0033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showGridLines="0" topLeftCell="A161" zoomScale="130" zoomScaleNormal="130" workbookViewId="0">
      <selection activeCell="K166" sqref="K166"/>
    </sheetView>
  </sheetViews>
  <sheetFormatPr baseColWidth="10" defaultColWidth="11.42578125" defaultRowHeight="11.25" x14ac:dyDescent="0.2"/>
  <cols>
    <col min="1" max="1" width="29" style="2" bestFit="1" customWidth="1"/>
    <col min="2" max="11" width="9" style="2" customWidth="1"/>
    <col min="12" max="12" width="2.7109375" style="2" customWidth="1"/>
    <col min="13" max="13" width="33.5703125" style="2" bestFit="1" customWidth="1"/>
    <col min="14" max="14" width="9" style="2" customWidth="1"/>
    <col min="15" max="16384" width="11.42578125" style="2"/>
  </cols>
  <sheetData>
    <row r="1" spans="1:13" x14ac:dyDescent="0.2">
      <c r="A1" s="1" t="s">
        <v>0</v>
      </c>
    </row>
    <row r="3" spans="1:13" x14ac:dyDescent="0.2">
      <c r="A3" s="2" t="s">
        <v>1</v>
      </c>
      <c r="B3" s="77"/>
      <c r="C3" s="78"/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</row>
    <row r="4" spans="1:13" x14ac:dyDescent="0.2">
      <c r="A4" s="2" t="s">
        <v>2</v>
      </c>
      <c r="B4" s="79"/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</row>
    <row r="5" spans="1:13" x14ac:dyDescent="0.2">
      <c r="A5" s="2" t="s">
        <v>135</v>
      </c>
      <c r="B5" s="79"/>
      <c r="C5" s="79"/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</row>
    <row r="6" spans="1:13" x14ac:dyDescent="0.2">
      <c r="A6" s="2" t="s">
        <v>136</v>
      </c>
      <c r="B6" s="79"/>
      <c r="C6" s="79"/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</row>
    <row r="7" spans="1:13" x14ac:dyDescent="0.2">
      <c r="C7" s="60"/>
      <c r="D7" s="60"/>
    </row>
    <row r="8" spans="1:13" x14ac:dyDescent="0.2">
      <c r="A8" s="232" t="s">
        <v>3</v>
      </c>
      <c r="B8" s="237" t="s">
        <v>4</v>
      </c>
      <c r="C8" s="238"/>
      <c r="D8" s="238"/>
      <c r="E8" s="238"/>
      <c r="F8" s="238"/>
      <c r="G8" s="238"/>
      <c r="H8" s="238"/>
      <c r="I8" s="238"/>
      <c r="J8" s="238"/>
      <c r="K8" s="239"/>
    </row>
    <row r="9" spans="1:13" x14ac:dyDescent="0.2">
      <c r="A9" s="233"/>
      <c r="B9" s="3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M9" s="1" t="s">
        <v>5</v>
      </c>
    </row>
    <row r="10" spans="1:13" x14ac:dyDescent="0.2">
      <c r="A10" s="89" t="s">
        <v>6</v>
      </c>
      <c r="B10" s="75"/>
      <c r="C10" s="75">
        <v>25000</v>
      </c>
      <c r="D10" s="75">
        <f t="shared" ref="D10:K10" si="0">+C10*(1+D3)</f>
        <v>27500.000000000004</v>
      </c>
      <c r="E10" s="75">
        <f t="shared" si="0"/>
        <v>30250.000000000007</v>
      </c>
      <c r="F10" s="75">
        <f t="shared" si="0"/>
        <v>33275.000000000007</v>
      </c>
      <c r="G10" s="75">
        <f t="shared" si="0"/>
        <v>36602.500000000015</v>
      </c>
      <c r="H10" s="75">
        <f t="shared" si="0"/>
        <v>40262.750000000022</v>
      </c>
      <c r="I10" s="75">
        <f t="shared" si="0"/>
        <v>44289.025000000031</v>
      </c>
      <c r="J10" s="75">
        <f t="shared" si="0"/>
        <v>48717.927500000034</v>
      </c>
      <c r="K10" s="75">
        <f t="shared" si="0"/>
        <v>53589.720250000042</v>
      </c>
      <c r="M10" s="2" t="s">
        <v>151</v>
      </c>
    </row>
    <row r="11" spans="1:13" x14ac:dyDescent="0.2">
      <c r="A11" s="4" t="s">
        <v>82</v>
      </c>
      <c r="B11" s="49"/>
      <c r="C11" s="49">
        <f>+B43*2%</f>
        <v>0</v>
      </c>
      <c r="D11" s="49">
        <f>+C43*2%</f>
        <v>15.537953158106484</v>
      </c>
      <c r="E11" s="49">
        <f t="shared" ref="E11:K11" si="1">+D43*2%</f>
        <v>14.812805466909268</v>
      </c>
      <c r="F11" s="49">
        <f t="shared" si="1"/>
        <v>19.282476712786828</v>
      </c>
      <c r="G11" s="49">
        <f t="shared" si="1"/>
        <v>27.949928831145115</v>
      </c>
      <c r="H11" s="49">
        <f t="shared" si="1"/>
        <v>41.272821275636595</v>
      </c>
      <c r="I11" s="49">
        <f t="shared" si="1"/>
        <v>59.770025419235935</v>
      </c>
      <c r="J11" s="49">
        <f t="shared" si="1"/>
        <v>84.015037155590946</v>
      </c>
      <c r="K11" s="49">
        <f t="shared" si="1"/>
        <v>114.64162077345743</v>
      </c>
      <c r="M11" s="2" t="s">
        <v>150</v>
      </c>
    </row>
    <row r="12" spans="1:13" x14ac:dyDescent="0.2">
      <c r="A12" s="6" t="s">
        <v>149</v>
      </c>
      <c r="B12" s="49"/>
      <c r="C12" s="49">
        <f>SUM(C10:C11)</f>
        <v>25000</v>
      </c>
      <c r="D12" s="49">
        <f>SUM(D10:D11)</f>
        <v>27515.537953158109</v>
      </c>
      <c r="E12" s="49">
        <f t="shared" ref="E12:K12" si="2">SUM(E10:E11)</f>
        <v>30264.812805466918</v>
      </c>
      <c r="F12" s="49">
        <f t="shared" si="2"/>
        <v>33294.282476712797</v>
      </c>
      <c r="G12" s="49">
        <f t="shared" si="2"/>
        <v>36630.449928831156</v>
      </c>
      <c r="H12" s="49">
        <f t="shared" si="2"/>
        <v>40304.022821275656</v>
      </c>
      <c r="I12" s="49">
        <f t="shared" si="2"/>
        <v>44348.795025419269</v>
      </c>
      <c r="J12" s="49">
        <f t="shared" si="2"/>
        <v>48801.942537155628</v>
      </c>
      <c r="K12" s="49">
        <f t="shared" si="2"/>
        <v>53704.3618707735</v>
      </c>
    </row>
    <row r="13" spans="1:13" x14ac:dyDescent="0.2">
      <c r="A13" s="4" t="s">
        <v>7</v>
      </c>
      <c r="B13" s="73"/>
      <c r="C13" s="73">
        <v>0</v>
      </c>
      <c r="D13" s="73">
        <f>+C15</f>
        <v>625</v>
      </c>
      <c r="E13" s="73">
        <f t="shared" ref="E13:K13" si="3">+D15</f>
        <v>687.88844882895273</v>
      </c>
      <c r="F13" s="73">
        <f t="shared" si="3"/>
        <v>756.62032013667294</v>
      </c>
      <c r="G13" s="73">
        <f t="shared" si="3"/>
        <v>832.35706191781981</v>
      </c>
      <c r="H13" s="73">
        <f t="shared" si="3"/>
        <v>915.76124822077884</v>
      </c>
      <c r="I13" s="73">
        <f t="shared" si="3"/>
        <v>1007.6005705318913</v>
      </c>
      <c r="J13" s="73">
        <f t="shared" si="3"/>
        <v>1108.7198756354817</v>
      </c>
      <c r="K13" s="73">
        <f t="shared" si="3"/>
        <v>1220.0485634288907</v>
      </c>
      <c r="M13" s="2" t="s">
        <v>8</v>
      </c>
    </row>
    <row r="14" spans="1:13" x14ac:dyDescent="0.2">
      <c r="A14" s="4" t="s">
        <v>9</v>
      </c>
      <c r="B14" s="49"/>
      <c r="C14" s="49">
        <f>+C16-C13+C15</f>
        <v>15625</v>
      </c>
      <c r="D14" s="49">
        <f t="shared" ref="D14:K14" si="4">+D16-D13+D15</f>
        <v>16572.211220723817</v>
      </c>
      <c r="E14" s="49">
        <f>+E16-E13+E15</f>
        <v>18227.619554587873</v>
      </c>
      <c r="F14" s="49">
        <f t="shared" si="4"/>
        <v>20052.306227808825</v>
      </c>
      <c r="G14" s="49">
        <f t="shared" si="4"/>
        <v>22061.674143601653</v>
      </c>
      <c r="H14" s="49">
        <f t="shared" si="4"/>
        <v>24274.253015076505</v>
      </c>
      <c r="I14" s="49">
        <f t="shared" si="4"/>
        <v>26710.39632035515</v>
      </c>
      <c r="J14" s="49">
        <f t="shared" si="4"/>
        <v>29392.494210086785</v>
      </c>
      <c r="K14" s="49">
        <f t="shared" si="4"/>
        <v>32345.177605804543</v>
      </c>
      <c r="M14" s="2" t="s">
        <v>10</v>
      </c>
    </row>
    <row r="15" spans="1:13" x14ac:dyDescent="0.2">
      <c r="A15" s="4" t="s">
        <v>11</v>
      </c>
      <c r="B15" s="49"/>
      <c r="C15" s="49">
        <f>+C45</f>
        <v>625</v>
      </c>
      <c r="D15" s="49">
        <f>+D45</f>
        <v>687.88844882895273</v>
      </c>
      <c r="E15" s="49">
        <f t="shared" ref="E15:K15" si="5">+E45</f>
        <v>756.62032013667294</v>
      </c>
      <c r="F15" s="49">
        <f t="shared" si="5"/>
        <v>832.35706191781981</v>
      </c>
      <c r="G15" s="49">
        <f t="shared" si="5"/>
        <v>915.76124822077884</v>
      </c>
      <c r="H15" s="49">
        <f t="shared" si="5"/>
        <v>1007.6005705318913</v>
      </c>
      <c r="I15" s="49">
        <f t="shared" si="5"/>
        <v>1108.7198756354817</v>
      </c>
      <c r="J15" s="49">
        <f t="shared" si="5"/>
        <v>1220.0485634288907</v>
      </c>
      <c r="K15" s="49">
        <f t="shared" si="5"/>
        <v>1342.6090467693375</v>
      </c>
      <c r="M15" s="2" t="s">
        <v>137</v>
      </c>
    </row>
    <row r="16" spans="1:13" x14ac:dyDescent="0.2">
      <c r="A16" s="6" t="s">
        <v>12</v>
      </c>
      <c r="B16" s="74"/>
      <c r="C16" s="74">
        <f>+C12*(1-C4)</f>
        <v>15000</v>
      </c>
      <c r="D16" s="74">
        <f>+D12*(1-D4)</f>
        <v>16509.322771894866</v>
      </c>
      <c r="E16" s="74">
        <f>+E12*(1-E4)</f>
        <v>18158.887683280151</v>
      </c>
      <c r="F16" s="74">
        <f t="shared" ref="F16:K16" si="6">+F12*(1-F4)</f>
        <v>19976.569486027678</v>
      </c>
      <c r="G16" s="74">
        <f t="shared" si="6"/>
        <v>21978.269957298693</v>
      </c>
      <c r="H16" s="74">
        <f t="shared" si="6"/>
        <v>24182.413692765393</v>
      </c>
      <c r="I16" s="74">
        <f t="shared" si="6"/>
        <v>26609.277015251562</v>
      </c>
      <c r="J16" s="74">
        <f t="shared" si="6"/>
        <v>29281.165522293377</v>
      </c>
      <c r="K16" s="74">
        <f t="shared" si="6"/>
        <v>32222.6171224641</v>
      </c>
    </row>
    <row r="17" spans="1:13" x14ac:dyDescent="0.2">
      <c r="A17" s="8" t="s">
        <v>13</v>
      </c>
      <c r="B17" s="75"/>
      <c r="C17" s="75">
        <f>+C12*C4</f>
        <v>10000</v>
      </c>
      <c r="D17" s="75">
        <f>+D12*D4</f>
        <v>11006.215181263244</v>
      </c>
      <c r="E17" s="75">
        <f t="shared" ref="E17:K17" si="7">+E12*E4</f>
        <v>12105.925122186767</v>
      </c>
      <c r="F17" s="75">
        <f t="shared" si="7"/>
        <v>13317.712990685119</v>
      </c>
      <c r="G17" s="75">
        <f t="shared" si="7"/>
        <v>14652.179971532463</v>
      </c>
      <c r="H17" s="75">
        <f>+H12*H4</f>
        <v>16121.609128510263</v>
      </c>
      <c r="I17" s="75">
        <f t="shared" si="7"/>
        <v>17739.518010167707</v>
      </c>
      <c r="J17" s="75">
        <f t="shared" si="7"/>
        <v>19520.777014862251</v>
      </c>
      <c r="K17" s="75">
        <f t="shared" si="7"/>
        <v>21481.7447483094</v>
      </c>
      <c r="M17" s="2" t="s">
        <v>155</v>
      </c>
    </row>
    <row r="18" spans="1:13" x14ac:dyDescent="0.2">
      <c r="A18" s="4" t="s">
        <v>14</v>
      </c>
      <c r="B18" s="49"/>
      <c r="C18" s="49">
        <v>2000</v>
      </c>
      <c r="D18" s="49">
        <f>+C18*(1+D5)</f>
        <v>2100</v>
      </c>
      <c r="E18" s="49">
        <f t="shared" ref="E18:K18" si="8">+D18*(1+E5)</f>
        <v>2205</v>
      </c>
      <c r="F18" s="49">
        <f t="shared" si="8"/>
        <v>2315.25</v>
      </c>
      <c r="G18" s="49">
        <f t="shared" si="8"/>
        <v>2431.0125000000003</v>
      </c>
      <c r="H18" s="49">
        <f t="shared" si="8"/>
        <v>2552.5631250000006</v>
      </c>
      <c r="I18" s="49">
        <f t="shared" si="8"/>
        <v>2680.1912812500009</v>
      </c>
      <c r="J18" s="49">
        <f t="shared" si="8"/>
        <v>2814.2008453125009</v>
      </c>
      <c r="K18" s="49">
        <f t="shared" si="8"/>
        <v>2954.9108875781262</v>
      </c>
      <c r="M18" s="2" t="s">
        <v>156</v>
      </c>
    </row>
    <row r="19" spans="1:13" x14ac:dyDescent="0.2">
      <c r="A19" s="10" t="s">
        <v>15</v>
      </c>
      <c r="B19" s="74"/>
      <c r="C19" s="74">
        <v>1000</v>
      </c>
      <c r="D19" s="74">
        <f>+C19*(1+D6)</f>
        <v>1080</v>
      </c>
      <c r="E19" s="74">
        <f t="shared" ref="E19:K19" si="9">+D19*(1+E6)</f>
        <v>1166.4000000000001</v>
      </c>
      <c r="F19" s="74">
        <f t="shared" si="9"/>
        <v>1259.7120000000002</v>
      </c>
      <c r="G19" s="74">
        <f t="shared" si="9"/>
        <v>1360.4889600000004</v>
      </c>
      <c r="H19" s="74">
        <f t="shared" si="9"/>
        <v>1469.3280768000004</v>
      </c>
      <c r="I19" s="74">
        <f t="shared" si="9"/>
        <v>1586.8743229440006</v>
      </c>
      <c r="J19" s="74">
        <f t="shared" si="9"/>
        <v>1713.8242687795207</v>
      </c>
      <c r="K19" s="74">
        <f t="shared" si="9"/>
        <v>1850.9302102818824</v>
      </c>
      <c r="M19" s="2" t="s">
        <v>157</v>
      </c>
    </row>
    <row r="20" spans="1:13" x14ac:dyDescent="0.2">
      <c r="A20" s="8" t="s">
        <v>16</v>
      </c>
      <c r="B20" s="49"/>
      <c r="C20" s="49">
        <f>+C17-C18-C19</f>
        <v>7000</v>
      </c>
      <c r="D20" s="49">
        <f t="shared" ref="D20:K20" si="10">+D17-D18-D19</f>
        <v>7826.2151812632437</v>
      </c>
      <c r="E20" s="49">
        <f t="shared" si="10"/>
        <v>8734.5251221867675</v>
      </c>
      <c r="F20" s="49">
        <f t="shared" si="10"/>
        <v>9742.7509906851192</v>
      </c>
      <c r="G20" s="49">
        <f t="shared" si="10"/>
        <v>10860.678511532462</v>
      </c>
      <c r="H20" s="49">
        <f t="shared" si="10"/>
        <v>12099.717926710262</v>
      </c>
      <c r="I20" s="49">
        <f t="shared" si="10"/>
        <v>13472.452405973705</v>
      </c>
      <c r="J20" s="49">
        <f t="shared" si="10"/>
        <v>14992.751900770229</v>
      </c>
      <c r="K20" s="49">
        <f t="shared" si="10"/>
        <v>16675.903650449389</v>
      </c>
    </row>
    <row r="21" spans="1:13" x14ac:dyDescent="0.2">
      <c r="A21" s="10" t="s">
        <v>17</v>
      </c>
      <c r="B21" s="52"/>
      <c r="C21" s="52">
        <f>5%*B49</f>
        <v>2500</v>
      </c>
      <c r="D21" s="52">
        <f t="shared" ref="D21:K21" si="11">5%*C49</f>
        <v>2500</v>
      </c>
      <c r="E21" s="52">
        <f t="shared" si="11"/>
        <v>2500</v>
      </c>
      <c r="F21" s="52">
        <f t="shared" si="11"/>
        <v>2500</v>
      </c>
      <c r="G21" s="52">
        <f t="shared" si="11"/>
        <v>2500</v>
      </c>
      <c r="H21" s="52">
        <f t="shared" si="11"/>
        <v>2500</v>
      </c>
      <c r="I21" s="52">
        <f t="shared" si="11"/>
        <v>2500</v>
      </c>
      <c r="J21" s="52">
        <f t="shared" si="11"/>
        <v>2500</v>
      </c>
      <c r="K21" s="52">
        <f t="shared" si="11"/>
        <v>2500</v>
      </c>
      <c r="M21" s="2" t="s">
        <v>158</v>
      </c>
    </row>
    <row r="22" spans="1:13" x14ac:dyDescent="0.2">
      <c r="A22" s="8" t="s">
        <v>18</v>
      </c>
      <c r="B22" s="73"/>
      <c r="C22" s="73">
        <f>+C20-C21</f>
        <v>4500</v>
      </c>
      <c r="D22" s="73">
        <f t="shared" ref="D22:K22" si="12">+D20-D21</f>
        <v>5326.2151812632437</v>
      </c>
      <c r="E22" s="73">
        <f t="shared" si="12"/>
        <v>6234.5251221867675</v>
      </c>
      <c r="F22" s="73">
        <f t="shared" si="12"/>
        <v>7242.7509906851192</v>
      </c>
      <c r="G22" s="73">
        <f t="shared" si="12"/>
        <v>8360.6785115324619</v>
      </c>
      <c r="H22" s="73">
        <f t="shared" si="12"/>
        <v>9599.717926710262</v>
      </c>
      <c r="I22" s="73">
        <f t="shared" si="12"/>
        <v>10972.452405973705</v>
      </c>
      <c r="J22" s="73">
        <f t="shared" si="12"/>
        <v>12492.751900770229</v>
      </c>
      <c r="K22" s="73">
        <f t="shared" si="12"/>
        <v>14175.903650449389</v>
      </c>
    </row>
    <row r="23" spans="1:13" x14ac:dyDescent="0.2">
      <c r="A23" s="10" t="s">
        <v>19</v>
      </c>
      <c r="B23" s="85"/>
      <c r="C23" s="85">
        <f>+B59*10%</f>
        <v>2000</v>
      </c>
      <c r="D23" s="85">
        <f t="shared" ref="D23:K23" si="13">+C59*10%</f>
        <v>1874.509210234977</v>
      </c>
      <c r="E23" s="85">
        <f t="shared" si="13"/>
        <v>1736.4693414934516</v>
      </c>
      <c r="F23" s="85">
        <f t="shared" si="13"/>
        <v>1584.6254858777734</v>
      </c>
      <c r="G23" s="85">
        <f t="shared" si="13"/>
        <v>1417.5972447005274</v>
      </c>
      <c r="H23" s="85">
        <f t="shared" si="13"/>
        <v>1233.866179405557</v>
      </c>
      <c r="I23" s="85">
        <f t="shared" si="13"/>
        <v>1031.7620075810894</v>
      </c>
      <c r="J23" s="85">
        <f t="shared" si="13"/>
        <v>809.44741857417512</v>
      </c>
      <c r="K23" s="85">
        <f t="shared" si="13"/>
        <v>564.90137066656939</v>
      </c>
      <c r="M23" s="2" t="s">
        <v>159</v>
      </c>
    </row>
    <row r="24" spans="1:13" x14ac:dyDescent="0.2">
      <c r="A24" s="8" t="s">
        <v>20</v>
      </c>
      <c r="B24" s="73"/>
      <c r="C24" s="73">
        <f>+C22-C23</f>
        <v>2500</v>
      </c>
      <c r="D24" s="73">
        <f t="shared" ref="D24:K24" si="14">+D22-D23</f>
        <v>3451.7059710282665</v>
      </c>
      <c r="E24" s="73">
        <f t="shared" si="14"/>
        <v>4498.0557806933157</v>
      </c>
      <c r="F24" s="73">
        <f t="shared" si="14"/>
        <v>5658.1255048073454</v>
      </c>
      <c r="G24" s="73">
        <f t="shared" si="14"/>
        <v>6943.081266831934</v>
      </c>
      <c r="H24" s="73">
        <f t="shared" si="14"/>
        <v>8365.851747304705</v>
      </c>
      <c r="I24" s="73">
        <f t="shared" si="14"/>
        <v>9940.690398392615</v>
      </c>
      <c r="J24" s="73">
        <f t="shared" si="14"/>
        <v>11683.304482196054</v>
      </c>
      <c r="K24" s="73">
        <f t="shared" si="14"/>
        <v>13611.002279782819</v>
      </c>
    </row>
    <row r="25" spans="1:13" x14ac:dyDescent="0.2">
      <c r="A25" s="10" t="s">
        <v>21</v>
      </c>
      <c r="B25" s="86"/>
      <c r="C25" s="86">
        <f>+C24*36.25%</f>
        <v>906.25</v>
      </c>
      <c r="D25" s="86">
        <f>+D24*36.25%</f>
        <v>1251.2434144977465</v>
      </c>
      <c r="E25" s="86">
        <f>+E24*36.25%</f>
        <v>1630.5452205013269</v>
      </c>
      <c r="F25" s="86">
        <f t="shared" ref="F25:K25" si="15">+F24*36.25%</f>
        <v>2051.0704954926628</v>
      </c>
      <c r="G25" s="86">
        <f t="shared" si="15"/>
        <v>2516.866959226576</v>
      </c>
      <c r="H25" s="86">
        <f t="shared" si="15"/>
        <v>3032.6212583979554</v>
      </c>
      <c r="I25" s="86">
        <f t="shared" si="15"/>
        <v>3603.5002694173227</v>
      </c>
      <c r="J25" s="86">
        <f t="shared" si="15"/>
        <v>4235.1978747960693</v>
      </c>
      <c r="K25" s="86">
        <f t="shared" si="15"/>
        <v>4933.9883264212713</v>
      </c>
      <c r="M25" s="2" t="s">
        <v>22</v>
      </c>
    </row>
    <row r="26" spans="1:13" x14ac:dyDescent="0.2">
      <c r="A26" s="12" t="s">
        <v>23</v>
      </c>
      <c r="B26" s="73"/>
      <c r="C26" s="73">
        <f>+C24-C25</f>
        <v>1593.75</v>
      </c>
      <c r="D26" s="73">
        <f t="shared" ref="D26:K26" si="16">+D24-D25</f>
        <v>2200.46255653052</v>
      </c>
      <c r="E26" s="73">
        <f t="shared" si="16"/>
        <v>2867.5105601919886</v>
      </c>
      <c r="F26" s="73">
        <f t="shared" si="16"/>
        <v>3607.0550093146826</v>
      </c>
      <c r="G26" s="73">
        <f t="shared" si="16"/>
        <v>4426.214307605358</v>
      </c>
      <c r="H26" s="73">
        <f t="shared" si="16"/>
        <v>5333.2304889067491</v>
      </c>
      <c r="I26" s="73">
        <f t="shared" si="16"/>
        <v>6337.1901289752923</v>
      </c>
      <c r="J26" s="73">
        <f t="shared" si="16"/>
        <v>7448.1066073999846</v>
      </c>
      <c r="K26" s="73">
        <f t="shared" si="16"/>
        <v>8677.0139533615475</v>
      </c>
    </row>
    <row r="27" spans="1:13" x14ac:dyDescent="0.2">
      <c r="A27" s="10" t="s">
        <v>24</v>
      </c>
      <c r="B27" s="87"/>
      <c r="C27" s="85">
        <f>+C26*60%</f>
        <v>956.25</v>
      </c>
      <c r="D27" s="85">
        <f t="shared" ref="D27:K27" si="17">+D26*60%</f>
        <v>1320.277533918312</v>
      </c>
      <c r="E27" s="85">
        <f t="shared" si="17"/>
        <v>1720.5063361151931</v>
      </c>
      <c r="F27" s="85">
        <f t="shared" si="17"/>
        <v>2164.2330055888096</v>
      </c>
      <c r="G27" s="85">
        <f t="shared" si="17"/>
        <v>2655.7285845632146</v>
      </c>
      <c r="H27" s="85">
        <f t="shared" si="17"/>
        <v>3199.9382933440493</v>
      </c>
      <c r="I27" s="85">
        <f t="shared" si="17"/>
        <v>3802.3140773851751</v>
      </c>
      <c r="J27" s="85">
        <f t="shared" si="17"/>
        <v>4468.8639644399909</v>
      </c>
      <c r="K27" s="85">
        <f t="shared" si="17"/>
        <v>5206.2083720169285</v>
      </c>
      <c r="M27" s="2" t="s">
        <v>146</v>
      </c>
    </row>
    <row r="28" spans="1:13" x14ac:dyDescent="0.2">
      <c r="A28" s="6" t="s">
        <v>25</v>
      </c>
      <c r="B28" s="84"/>
      <c r="C28" s="84">
        <f>+C26-C27</f>
        <v>637.5</v>
      </c>
      <c r="D28" s="84">
        <f t="shared" ref="D28:K28" si="18">+D26-D27</f>
        <v>880.18502261220806</v>
      </c>
      <c r="E28" s="84">
        <f t="shared" si="18"/>
        <v>1147.0042240767955</v>
      </c>
      <c r="F28" s="84">
        <f t="shared" si="18"/>
        <v>1442.8220037258729</v>
      </c>
      <c r="G28" s="84">
        <f t="shared" si="18"/>
        <v>1770.4857230421435</v>
      </c>
      <c r="H28" s="84">
        <f t="shared" si="18"/>
        <v>2133.2921955626998</v>
      </c>
      <c r="I28" s="84">
        <f t="shared" si="18"/>
        <v>2534.8760515901172</v>
      </c>
      <c r="J28" s="84">
        <f t="shared" si="18"/>
        <v>2979.2426429599936</v>
      </c>
      <c r="K28" s="84">
        <f t="shared" si="18"/>
        <v>3470.805581344619</v>
      </c>
    </row>
    <row r="29" spans="1:13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3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</row>
    <row r="31" spans="1:13" x14ac:dyDescent="0.2">
      <c r="A31" s="1" t="s">
        <v>26</v>
      </c>
      <c r="B31" s="15"/>
      <c r="C31" s="14"/>
      <c r="D31" s="14"/>
      <c r="E31" s="14"/>
      <c r="F31" s="14"/>
      <c r="G31" s="14"/>
      <c r="H31" s="14"/>
      <c r="I31" s="14"/>
      <c r="J31" s="14"/>
      <c r="K31" s="14"/>
    </row>
    <row r="32" spans="1:13" x14ac:dyDescent="0.2">
      <c r="A32" s="2" t="s">
        <v>27</v>
      </c>
      <c r="B32" s="72"/>
      <c r="C32" s="72">
        <v>30</v>
      </c>
      <c r="D32" s="72">
        <v>30</v>
      </c>
      <c r="E32" s="72">
        <v>30</v>
      </c>
      <c r="F32" s="72">
        <v>30</v>
      </c>
      <c r="G32" s="72">
        <v>30</v>
      </c>
      <c r="H32" s="72">
        <v>30</v>
      </c>
      <c r="I32" s="72">
        <v>30</v>
      </c>
      <c r="J32" s="72">
        <v>30</v>
      </c>
      <c r="K32" s="72">
        <v>30</v>
      </c>
    </row>
    <row r="33" spans="1:13" x14ac:dyDescent="0.2">
      <c r="A33" s="2" t="s">
        <v>28</v>
      </c>
      <c r="B33" s="72"/>
      <c r="C33" s="72">
        <v>15</v>
      </c>
      <c r="D33" s="72">
        <v>15</v>
      </c>
      <c r="E33" s="72">
        <v>15</v>
      </c>
      <c r="F33" s="72">
        <v>15</v>
      </c>
      <c r="G33" s="72">
        <v>15</v>
      </c>
      <c r="H33" s="72">
        <v>15</v>
      </c>
      <c r="I33" s="72">
        <v>15</v>
      </c>
      <c r="J33" s="72">
        <v>15</v>
      </c>
      <c r="K33" s="72">
        <v>15</v>
      </c>
    </row>
    <row r="34" spans="1:13" x14ac:dyDescent="0.2">
      <c r="A34" s="2" t="s">
        <v>29</v>
      </c>
      <c r="B34" s="72"/>
      <c r="C34" s="72">
        <v>50</v>
      </c>
      <c r="D34" s="72">
        <v>50</v>
      </c>
      <c r="E34" s="72">
        <v>50</v>
      </c>
      <c r="F34" s="72">
        <v>50</v>
      </c>
      <c r="G34" s="72">
        <v>50</v>
      </c>
      <c r="H34" s="72">
        <v>50</v>
      </c>
      <c r="I34" s="72">
        <v>50</v>
      </c>
      <c r="J34" s="72">
        <v>50</v>
      </c>
      <c r="K34" s="72">
        <v>50</v>
      </c>
    </row>
    <row r="35" spans="1:13" x14ac:dyDescent="0.2">
      <c r="A35" s="2" t="s">
        <v>30</v>
      </c>
      <c r="B35" s="72"/>
      <c r="C35" s="72">
        <f t="shared" ref="C35:K35" si="19">C32+C33-C34</f>
        <v>-5</v>
      </c>
      <c r="D35" s="72">
        <f t="shared" si="19"/>
        <v>-5</v>
      </c>
      <c r="E35" s="72">
        <f t="shared" si="19"/>
        <v>-5</v>
      </c>
      <c r="F35" s="72">
        <f t="shared" si="19"/>
        <v>-5</v>
      </c>
      <c r="G35" s="72">
        <f t="shared" si="19"/>
        <v>-5</v>
      </c>
      <c r="H35" s="72">
        <f t="shared" si="19"/>
        <v>-5</v>
      </c>
      <c r="I35" s="72">
        <f t="shared" si="19"/>
        <v>-5</v>
      </c>
      <c r="J35" s="72">
        <f t="shared" si="19"/>
        <v>-5</v>
      </c>
      <c r="K35" s="72">
        <f t="shared" si="19"/>
        <v>-5</v>
      </c>
    </row>
    <row r="36" spans="1:13" x14ac:dyDescent="0.2">
      <c r="A36" s="2" t="s">
        <v>138</v>
      </c>
      <c r="B36" s="76"/>
      <c r="C36" s="76">
        <v>0.1</v>
      </c>
      <c r="D36" s="76">
        <v>0.1</v>
      </c>
      <c r="E36" s="76">
        <v>0.1</v>
      </c>
      <c r="F36" s="76">
        <v>0.1</v>
      </c>
      <c r="G36" s="76">
        <v>0.1</v>
      </c>
      <c r="H36" s="76">
        <v>0.1</v>
      </c>
      <c r="I36" s="76">
        <v>0.1</v>
      </c>
      <c r="J36" s="76">
        <v>0.1</v>
      </c>
      <c r="K36" s="76">
        <v>0.1</v>
      </c>
    </row>
    <row r="37" spans="1:13" x14ac:dyDescent="0.2">
      <c r="A37" s="2" t="s">
        <v>139</v>
      </c>
      <c r="B37" s="76"/>
      <c r="C37" s="76">
        <v>0.12</v>
      </c>
      <c r="D37" s="76">
        <v>0.12</v>
      </c>
      <c r="E37" s="76">
        <v>0.12</v>
      </c>
      <c r="F37" s="76">
        <v>0.12</v>
      </c>
      <c r="G37" s="76">
        <v>0.12</v>
      </c>
      <c r="H37" s="76">
        <v>0.12</v>
      </c>
      <c r="I37" s="76">
        <v>0.12</v>
      </c>
      <c r="J37" s="76">
        <v>0.12</v>
      </c>
      <c r="K37" s="76">
        <v>0.12</v>
      </c>
    </row>
    <row r="39" spans="1:13" x14ac:dyDescent="0.2">
      <c r="A39" s="240" t="s">
        <v>31</v>
      </c>
      <c r="B39" s="234" t="s">
        <v>4</v>
      </c>
      <c r="C39" s="235"/>
      <c r="D39" s="235"/>
      <c r="E39" s="235"/>
      <c r="F39" s="235"/>
      <c r="G39" s="235"/>
      <c r="H39" s="235"/>
      <c r="I39" s="235"/>
      <c r="J39" s="235"/>
      <c r="K39" s="236"/>
    </row>
    <row r="40" spans="1:13" x14ac:dyDescent="0.2">
      <c r="A40" s="241"/>
      <c r="B40" s="3">
        <v>2010</v>
      </c>
      <c r="C40" s="3">
        <v>2011</v>
      </c>
      <c r="D40" s="3">
        <v>2012</v>
      </c>
      <c r="E40" s="3">
        <v>2013</v>
      </c>
      <c r="F40" s="3">
        <v>2014</v>
      </c>
      <c r="G40" s="3">
        <v>2015</v>
      </c>
      <c r="H40" s="3">
        <v>2016</v>
      </c>
      <c r="I40" s="3">
        <v>2017</v>
      </c>
      <c r="J40" s="3">
        <v>2018</v>
      </c>
      <c r="K40" s="3">
        <v>2019</v>
      </c>
    </row>
    <row r="41" spans="1:13" x14ac:dyDescent="0.2">
      <c r="A41" s="17" t="s">
        <v>32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3" x14ac:dyDescent="0.2">
      <c r="A42" s="20" t="s">
        <v>33</v>
      </c>
      <c r="B42" s="52">
        <f>+MAX(B10*5%,1000)</f>
        <v>1000</v>
      </c>
      <c r="C42" s="52">
        <f>+MAX(C10*5%,1000)</f>
        <v>1250</v>
      </c>
      <c r="D42" s="52">
        <f t="shared" ref="D42:K42" si="20">+MAX(D10*5%,1000)</f>
        <v>1375.0000000000002</v>
      </c>
      <c r="E42" s="52">
        <f t="shared" si="20"/>
        <v>1512.5000000000005</v>
      </c>
      <c r="F42" s="52">
        <f t="shared" si="20"/>
        <v>1663.7500000000005</v>
      </c>
      <c r="G42" s="52">
        <f t="shared" si="20"/>
        <v>1830.1250000000009</v>
      </c>
      <c r="H42" s="52">
        <f t="shared" si="20"/>
        <v>2013.1375000000012</v>
      </c>
      <c r="I42" s="52">
        <f t="shared" si="20"/>
        <v>2214.4512500000014</v>
      </c>
      <c r="J42" s="52">
        <f t="shared" si="20"/>
        <v>2435.8963750000016</v>
      </c>
      <c r="K42" s="52">
        <f t="shared" si="20"/>
        <v>2679.4860125000023</v>
      </c>
      <c r="M42" s="2" t="s">
        <v>145</v>
      </c>
    </row>
    <row r="43" spans="1:13" x14ac:dyDescent="0.2">
      <c r="A43" s="20" t="s">
        <v>34</v>
      </c>
      <c r="B43" s="49">
        <f>+B140</f>
        <v>0</v>
      </c>
      <c r="C43" s="49">
        <f t="shared" ref="C43:K43" si="21">+C140</f>
        <v>776.89765790532419</v>
      </c>
      <c r="D43" s="49">
        <f t="shared" si="21"/>
        <v>740.64027334546336</v>
      </c>
      <c r="E43" s="49">
        <f t="shared" si="21"/>
        <v>964.12383563934145</v>
      </c>
      <c r="F43" s="49">
        <f t="shared" si="21"/>
        <v>1397.4964415572558</v>
      </c>
      <c r="G43" s="49">
        <f t="shared" si="21"/>
        <v>2063.6410637818299</v>
      </c>
      <c r="H43" s="49">
        <f t="shared" si="21"/>
        <v>2988.5012709617968</v>
      </c>
      <c r="I43" s="49">
        <f t="shared" si="21"/>
        <v>4200.7518577795472</v>
      </c>
      <c r="J43" s="49">
        <f t="shared" si="21"/>
        <v>5732.0810386728717</v>
      </c>
      <c r="K43" s="49">
        <f t="shared" si="21"/>
        <v>7617.5007355076177</v>
      </c>
    </row>
    <row r="44" spans="1:13" x14ac:dyDescent="0.2">
      <c r="A44" s="20" t="s">
        <v>35</v>
      </c>
      <c r="B44" s="53"/>
      <c r="C44" s="53">
        <f>+(C32*C10)/360</f>
        <v>2083.3333333333335</v>
      </c>
      <c r="D44" s="53">
        <f t="shared" ref="D44:K44" si="22">+(D32*D10)/360</f>
        <v>2291.666666666667</v>
      </c>
      <c r="E44" s="53">
        <f t="shared" si="22"/>
        <v>2520.8333333333339</v>
      </c>
      <c r="F44" s="53">
        <f t="shared" si="22"/>
        <v>2772.9166666666674</v>
      </c>
      <c r="G44" s="53">
        <f t="shared" si="22"/>
        <v>3050.2083333333348</v>
      </c>
      <c r="H44" s="53">
        <f t="shared" si="22"/>
        <v>3355.2291666666688</v>
      </c>
      <c r="I44" s="53">
        <f t="shared" si="22"/>
        <v>3690.752083333336</v>
      </c>
      <c r="J44" s="53">
        <f t="shared" si="22"/>
        <v>4059.8272916666697</v>
      </c>
      <c r="K44" s="53">
        <f t="shared" si="22"/>
        <v>4465.8100208333371</v>
      </c>
    </row>
    <row r="45" spans="1:13" x14ac:dyDescent="0.2">
      <c r="A45" s="20" t="s">
        <v>36</v>
      </c>
      <c r="B45" s="53"/>
      <c r="C45" s="53">
        <f>+(C33*C16)/360</f>
        <v>625</v>
      </c>
      <c r="D45" s="53">
        <f t="shared" ref="D45:K45" si="23">+(D33*D16)/360</f>
        <v>687.88844882895273</v>
      </c>
      <c r="E45" s="53">
        <f t="shared" si="23"/>
        <v>756.62032013667294</v>
      </c>
      <c r="F45" s="53">
        <f t="shared" si="23"/>
        <v>832.35706191781981</v>
      </c>
      <c r="G45" s="53">
        <f t="shared" si="23"/>
        <v>915.76124822077884</v>
      </c>
      <c r="H45" s="53">
        <f t="shared" si="23"/>
        <v>1007.6005705318913</v>
      </c>
      <c r="I45" s="53">
        <f t="shared" si="23"/>
        <v>1108.7198756354817</v>
      </c>
      <c r="J45" s="53">
        <f t="shared" si="23"/>
        <v>1220.0485634288907</v>
      </c>
      <c r="K45" s="53">
        <f t="shared" si="23"/>
        <v>1342.6090467693375</v>
      </c>
    </row>
    <row r="46" spans="1:13" x14ac:dyDescent="0.2">
      <c r="A46" s="21" t="s">
        <v>37</v>
      </c>
      <c r="B46" s="54">
        <f>SUM(B42:B45)</f>
        <v>1000</v>
      </c>
      <c r="C46" s="54">
        <f>SUM(C42:C45)</f>
        <v>4735.2309912386572</v>
      </c>
      <c r="D46" s="54">
        <f t="shared" ref="D46:K46" si="24">SUM(D42:D45)</f>
        <v>5095.1953888410826</v>
      </c>
      <c r="E46" s="54">
        <f t="shared" si="24"/>
        <v>5754.0774891093497</v>
      </c>
      <c r="F46" s="54">
        <f t="shared" si="24"/>
        <v>6666.5201701417436</v>
      </c>
      <c r="G46" s="54">
        <f t="shared" si="24"/>
        <v>7859.7356453359444</v>
      </c>
      <c r="H46" s="54">
        <f t="shared" si="24"/>
        <v>9364.4685081603584</v>
      </c>
      <c r="I46" s="54">
        <f t="shared" si="24"/>
        <v>11214.675066748367</v>
      </c>
      <c r="J46" s="54">
        <f t="shared" si="24"/>
        <v>13447.853268768435</v>
      </c>
      <c r="K46" s="54">
        <f t="shared" si="24"/>
        <v>16105.405815610296</v>
      </c>
    </row>
    <row r="47" spans="1:13" x14ac:dyDescent="0.2">
      <c r="A47" s="20" t="s">
        <v>38</v>
      </c>
      <c r="B47" s="75">
        <v>50000</v>
      </c>
      <c r="C47" s="75">
        <f>+B47+C122</f>
        <v>52500</v>
      </c>
      <c r="D47" s="75">
        <f t="shared" ref="D47:K47" si="25">+C47+D122</f>
        <v>55000</v>
      </c>
      <c r="E47" s="75">
        <f t="shared" si="25"/>
        <v>57500</v>
      </c>
      <c r="F47" s="75">
        <f t="shared" si="25"/>
        <v>60000</v>
      </c>
      <c r="G47" s="75">
        <f t="shared" si="25"/>
        <v>62500</v>
      </c>
      <c r="H47" s="75">
        <f t="shared" si="25"/>
        <v>65000</v>
      </c>
      <c r="I47" s="75">
        <f t="shared" si="25"/>
        <v>67500</v>
      </c>
      <c r="J47" s="75">
        <f t="shared" si="25"/>
        <v>70000</v>
      </c>
      <c r="K47" s="75">
        <f t="shared" si="25"/>
        <v>72500</v>
      </c>
      <c r="M47" s="2" t="s">
        <v>154</v>
      </c>
    </row>
    <row r="48" spans="1:13" x14ac:dyDescent="0.2">
      <c r="A48" s="20" t="s">
        <v>40</v>
      </c>
      <c r="B48" s="49">
        <v>0</v>
      </c>
      <c r="C48" s="49">
        <f>+B48-C21</f>
        <v>-2500</v>
      </c>
      <c r="D48" s="49">
        <f t="shared" ref="D48:K48" si="26">+C48-D21</f>
        <v>-5000</v>
      </c>
      <c r="E48" s="49">
        <f t="shared" si="26"/>
        <v>-7500</v>
      </c>
      <c r="F48" s="49">
        <f t="shared" si="26"/>
        <v>-10000</v>
      </c>
      <c r="G48" s="49">
        <f t="shared" si="26"/>
        <v>-12500</v>
      </c>
      <c r="H48" s="49">
        <f t="shared" si="26"/>
        <v>-15000</v>
      </c>
      <c r="I48" s="49">
        <f t="shared" si="26"/>
        <v>-17500</v>
      </c>
      <c r="J48" s="49">
        <f t="shared" si="26"/>
        <v>-20000</v>
      </c>
      <c r="K48" s="49">
        <f t="shared" si="26"/>
        <v>-22500</v>
      </c>
    </row>
    <row r="49" spans="1:13" x14ac:dyDescent="0.2">
      <c r="A49" s="21" t="s">
        <v>41</v>
      </c>
      <c r="B49" s="54">
        <f>SUM(B47:B48)</f>
        <v>50000</v>
      </c>
      <c r="C49" s="54">
        <f>SUM(C47:C48)</f>
        <v>50000</v>
      </c>
      <c r="D49" s="54">
        <f t="shared" ref="D49:K49" si="27">SUM(D47:D48)</f>
        <v>50000</v>
      </c>
      <c r="E49" s="54">
        <f t="shared" si="27"/>
        <v>50000</v>
      </c>
      <c r="F49" s="54">
        <f t="shared" si="27"/>
        <v>50000</v>
      </c>
      <c r="G49" s="54">
        <f t="shared" si="27"/>
        <v>50000</v>
      </c>
      <c r="H49" s="54">
        <f t="shared" si="27"/>
        <v>50000</v>
      </c>
      <c r="I49" s="54">
        <f t="shared" si="27"/>
        <v>50000</v>
      </c>
      <c r="J49" s="54">
        <f t="shared" si="27"/>
        <v>50000</v>
      </c>
      <c r="K49" s="54">
        <f t="shared" si="27"/>
        <v>50000</v>
      </c>
    </row>
    <row r="50" spans="1:13" x14ac:dyDescent="0.2">
      <c r="A50" s="21" t="s">
        <v>42</v>
      </c>
      <c r="B50" s="55">
        <f>+B46+B49</f>
        <v>51000</v>
      </c>
      <c r="C50" s="55">
        <f>+C46+C49</f>
        <v>54735.230991238655</v>
      </c>
      <c r="D50" s="55">
        <f t="shared" ref="D50:K50" si="28">+D46+D49</f>
        <v>55095.195388841079</v>
      </c>
      <c r="E50" s="55">
        <f t="shared" si="28"/>
        <v>55754.077489109346</v>
      </c>
      <c r="F50" s="55">
        <f t="shared" si="28"/>
        <v>56666.520170141746</v>
      </c>
      <c r="G50" s="55">
        <f t="shared" si="28"/>
        <v>57859.735645335946</v>
      </c>
      <c r="H50" s="55">
        <f t="shared" si="28"/>
        <v>59364.46850816036</v>
      </c>
      <c r="I50" s="55">
        <f t="shared" si="28"/>
        <v>61214.675066748365</v>
      </c>
      <c r="J50" s="55">
        <f t="shared" si="28"/>
        <v>63447.853268768435</v>
      </c>
      <c r="K50" s="55">
        <f t="shared" si="28"/>
        <v>66105.405815610298</v>
      </c>
    </row>
    <row r="51" spans="1:13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3" x14ac:dyDescent="0.2">
      <c r="A52" s="17" t="s">
        <v>43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3" x14ac:dyDescent="0.2">
      <c r="A53" s="20" t="s">
        <v>44</v>
      </c>
      <c r="B53" s="53"/>
      <c r="C53" s="53">
        <f>+(C34*C14)/360</f>
        <v>2170.1388888888887</v>
      </c>
      <c r="D53" s="53">
        <f t="shared" ref="D53:K53" si="29">+(D34*D14)/360</f>
        <v>2301.6960028783078</v>
      </c>
      <c r="E53" s="53">
        <f t="shared" si="29"/>
        <v>2531.6138270260935</v>
      </c>
      <c r="F53" s="53">
        <f t="shared" si="29"/>
        <v>2785.0425316401147</v>
      </c>
      <c r="G53" s="53">
        <f t="shared" si="29"/>
        <v>3064.1214088335628</v>
      </c>
      <c r="H53" s="53">
        <f t="shared" si="29"/>
        <v>3371.4240298717368</v>
      </c>
      <c r="I53" s="53">
        <f t="shared" si="29"/>
        <v>3709.7772667159929</v>
      </c>
      <c r="J53" s="53">
        <f t="shared" si="29"/>
        <v>4082.2908625120535</v>
      </c>
      <c r="K53" s="53">
        <f t="shared" si="29"/>
        <v>4492.3857785839646</v>
      </c>
    </row>
    <row r="54" spans="1:13" x14ac:dyDescent="0.2">
      <c r="A54" s="20" t="s">
        <v>140</v>
      </c>
      <c r="B54" s="53"/>
      <c r="C54" s="53">
        <f>+C18*C36</f>
        <v>200</v>
      </c>
      <c r="D54" s="53">
        <f t="shared" ref="D54:K54" si="30">+D18*D36</f>
        <v>210</v>
      </c>
      <c r="E54" s="53">
        <f t="shared" si="30"/>
        <v>220.5</v>
      </c>
      <c r="F54" s="53">
        <f t="shared" si="30"/>
        <v>231.52500000000001</v>
      </c>
      <c r="G54" s="53">
        <f t="shared" si="30"/>
        <v>243.10125000000005</v>
      </c>
      <c r="H54" s="53">
        <f t="shared" si="30"/>
        <v>255.25631250000006</v>
      </c>
      <c r="I54" s="53">
        <f t="shared" si="30"/>
        <v>268.01912812500012</v>
      </c>
      <c r="J54" s="53">
        <f t="shared" si="30"/>
        <v>281.4200845312501</v>
      </c>
      <c r="K54" s="53">
        <f t="shared" si="30"/>
        <v>295.49108875781263</v>
      </c>
    </row>
    <row r="55" spans="1:13" x14ac:dyDescent="0.2">
      <c r="A55" s="20" t="s">
        <v>141</v>
      </c>
      <c r="B55" s="53"/>
      <c r="C55" s="53">
        <f>+C19*C37</f>
        <v>120</v>
      </c>
      <c r="D55" s="53">
        <f t="shared" ref="D55:K55" si="31">+D19*D37</f>
        <v>129.6</v>
      </c>
      <c r="E55" s="53">
        <f t="shared" si="31"/>
        <v>139.96800000000002</v>
      </c>
      <c r="F55" s="53">
        <f t="shared" si="31"/>
        <v>151.16544000000002</v>
      </c>
      <c r="G55" s="53">
        <f t="shared" si="31"/>
        <v>163.25867520000003</v>
      </c>
      <c r="H55" s="53">
        <f t="shared" si="31"/>
        <v>176.31936921600004</v>
      </c>
      <c r="I55" s="53">
        <f t="shared" si="31"/>
        <v>190.42491875328005</v>
      </c>
      <c r="J55" s="53">
        <f t="shared" si="31"/>
        <v>205.65891225354247</v>
      </c>
      <c r="K55" s="53">
        <f t="shared" si="31"/>
        <v>222.11162523382589</v>
      </c>
    </row>
    <row r="56" spans="1:13" x14ac:dyDescent="0.2">
      <c r="A56" s="20" t="s">
        <v>45</v>
      </c>
      <c r="B56" s="53"/>
      <c r="C56" s="53">
        <f>+C25</f>
        <v>906.25</v>
      </c>
      <c r="D56" s="53">
        <f t="shared" ref="D56:K56" si="32">+D25</f>
        <v>1251.2434144977465</v>
      </c>
      <c r="E56" s="53">
        <f t="shared" si="32"/>
        <v>1630.5452205013269</v>
      </c>
      <c r="F56" s="53">
        <f t="shared" si="32"/>
        <v>2051.0704954926628</v>
      </c>
      <c r="G56" s="53">
        <f t="shared" si="32"/>
        <v>2516.866959226576</v>
      </c>
      <c r="H56" s="53">
        <f t="shared" si="32"/>
        <v>3032.6212583979554</v>
      </c>
      <c r="I56" s="53">
        <f t="shared" si="32"/>
        <v>3603.5002694173227</v>
      </c>
      <c r="J56" s="53">
        <f t="shared" si="32"/>
        <v>4235.1978747960693</v>
      </c>
      <c r="K56" s="53">
        <f t="shared" si="32"/>
        <v>4933.9883264212713</v>
      </c>
    </row>
    <row r="57" spans="1:13" x14ac:dyDescent="0.2">
      <c r="A57" s="20" t="s">
        <v>46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3" x14ac:dyDescent="0.2">
      <c r="A58" s="21" t="s">
        <v>47</v>
      </c>
      <c r="B58" s="54"/>
      <c r="C58" s="54">
        <f>SUM(C53:C57)</f>
        <v>3396.3888888888887</v>
      </c>
      <c r="D58" s="54">
        <f t="shared" ref="D58:K58" si="33">SUM(D53:D57)</f>
        <v>3892.5394173760542</v>
      </c>
      <c r="E58" s="54">
        <f t="shared" si="33"/>
        <v>4522.6270475274205</v>
      </c>
      <c r="F58" s="54">
        <f t="shared" si="33"/>
        <v>5218.8034671327778</v>
      </c>
      <c r="G58" s="54">
        <f t="shared" si="33"/>
        <v>5987.3482932601391</v>
      </c>
      <c r="H58" s="54">
        <f t="shared" si="33"/>
        <v>6835.6209699856918</v>
      </c>
      <c r="I58" s="54">
        <f t="shared" si="33"/>
        <v>7771.7215830115956</v>
      </c>
      <c r="J58" s="54">
        <f t="shared" si="33"/>
        <v>8804.5677340929142</v>
      </c>
      <c r="K58" s="54">
        <f t="shared" si="33"/>
        <v>9943.9768189968745</v>
      </c>
    </row>
    <row r="59" spans="1:13" x14ac:dyDescent="0.2">
      <c r="A59" s="18" t="s">
        <v>48</v>
      </c>
      <c r="B59" s="88">
        <v>20000</v>
      </c>
      <c r="C59" s="88">
        <f>+B59-C129</f>
        <v>18745.092102349769</v>
      </c>
      <c r="D59" s="88">
        <f t="shared" ref="D59:K59" si="34">+C59-D129</f>
        <v>17364.693414934514</v>
      </c>
      <c r="E59" s="88">
        <f t="shared" si="34"/>
        <v>15846.254858777733</v>
      </c>
      <c r="F59" s="88">
        <f t="shared" si="34"/>
        <v>14175.972447005273</v>
      </c>
      <c r="G59" s="88">
        <f t="shared" si="34"/>
        <v>12338.661794055568</v>
      </c>
      <c r="H59" s="88">
        <f t="shared" si="34"/>
        <v>10317.620075810893</v>
      </c>
      <c r="I59" s="88">
        <f t="shared" si="34"/>
        <v>8094.4741857417503</v>
      </c>
      <c r="J59" s="88">
        <f t="shared" si="34"/>
        <v>5649.0137066656935</v>
      </c>
      <c r="K59" s="88">
        <f t="shared" si="34"/>
        <v>2959.0071796820303</v>
      </c>
      <c r="M59" s="2" t="s">
        <v>148</v>
      </c>
    </row>
    <row r="60" spans="1:13" x14ac:dyDescent="0.2">
      <c r="A60" s="21" t="s">
        <v>49</v>
      </c>
      <c r="B60" s="55">
        <f t="shared" ref="B60" si="35">+B59+B58</f>
        <v>20000</v>
      </c>
      <c r="C60" s="55">
        <f>+C59+C58</f>
        <v>22141.480991238655</v>
      </c>
      <c r="D60" s="55">
        <f t="shared" ref="D60:K60" si="36">+D59+D58</f>
        <v>21257.232832310568</v>
      </c>
      <c r="E60" s="55">
        <f t="shared" si="36"/>
        <v>20368.881906305152</v>
      </c>
      <c r="F60" s="55">
        <f t="shared" si="36"/>
        <v>19394.775914138052</v>
      </c>
      <c r="G60" s="55">
        <f t="shared" si="36"/>
        <v>18326.010087315706</v>
      </c>
      <c r="H60" s="55">
        <f t="shared" si="36"/>
        <v>17153.241045796585</v>
      </c>
      <c r="I60" s="55">
        <f t="shared" si="36"/>
        <v>15866.195768753347</v>
      </c>
      <c r="J60" s="55">
        <f t="shared" si="36"/>
        <v>14453.581440758608</v>
      </c>
      <c r="K60" s="55">
        <f t="shared" si="36"/>
        <v>12902.983998678905</v>
      </c>
    </row>
    <row r="61" spans="1:13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3" x14ac:dyDescent="0.2">
      <c r="A62" s="17" t="s">
        <v>50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3" x14ac:dyDescent="0.2">
      <c r="A63" s="20" t="s">
        <v>51</v>
      </c>
      <c r="B63" s="52">
        <v>31000</v>
      </c>
      <c r="C63" s="52">
        <f>+B63</f>
        <v>31000</v>
      </c>
      <c r="D63" s="52">
        <f t="shared" ref="D63:K63" si="37">+C63</f>
        <v>31000</v>
      </c>
      <c r="E63" s="52">
        <f t="shared" si="37"/>
        <v>31000</v>
      </c>
      <c r="F63" s="52">
        <f t="shared" si="37"/>
        <v>31000</v>
      </c>
      <c r="G63" s="52">
        <f t="shared" si="37"/>
        <v>31000</v>
      </c>
      <c r="H63" s="52">
        <f t="shared" si="37"/>
        <v>31000</v>
      </c>
      <c r="I63" s="52">
        <f t="shared" si="37"/>
        <v>31000</v>
      </c>
      <c r="J63" s="52">
        <f t="shared" si="37"/>
        <v>31000</v>
      </c>
      <c r="K63" s="52">
        <f t="shared" si="37"/>
        <v>31000</v>
      </c>
      <c r="M63" s="2" t="s">
        <v>147</v>
      </c>
    </row>
    <row r="64" spans="1:13" x14ac:dyDescent="0.2">
      <c r="A64" s="20" t="s">
        <v>52</v>
      </c>
      <c r="B64" s="49"/>
      <c r="C64" s="49">
        <f>+C26</f>
        <v>1593.75</v>
      </c>
      <c r="D64" s="49">
        <f t="shared" ref="D64:K64" si="38">+D26</f>
        <v>2200.46255653052</v>
      </c>
      <c r="E64" s="49">
        <f t="shared" si="38"/>
        <v>2867.5105601919886</v>
      </c>
      <c r="F64" s="49">
        <f t="shared" si="38"/>
        <v>3607.0550093146826</v>
      </c>
      <c r="G64" s="49">
        <f t="shared" si="38"/>
        <v>4426.214307605358</v>
      </c>
      <c r="H64" s="49">
        <f t="shared" si="38"/>
        <v>5333.2304889067491</v>
      </c>
      <c r="I64" s="49">
        <f t="shared" si="38"/>
        <v>6337.1901289752923</v>
      </c>
      <c r="J64" s="49">
        <f t="shared" si="38"/>
        <v>7448.1066073999846</v>
      </c>
      <c r="K64" s="49">
        <f t="shared" si="38"/>
        <v>8677.0139533615475</v>
      </c>
    </row>
    <row r="65" spans="1:13" x14ac:dyDescent="0.2">
      <c r="A65" s="20" t="s">
        <v>53</v>
      </c>
      <c r="B65" s="49"/>
      <c r="C65" s="49">
        <f>+B28+B65</f>
        <v>0</v>
      </c>
      <c r="D65" s="49">
        <f>+C28+C65</f>
        <v>637.5</v>
      </c>
      <c r="E65" s="49">
        <f>+D28+D65</f>
        <v>1517.6850226122081</v>
      </c>
      <c r="F65" s="49">
        <f>+E28+E65</f>
        <v>2664.6892466890035</v>
      </c>
      <c r="G65" s="49">
        <f t="shared" ref="G65:K65" si="39">+F28+F65</f>
        <v>4107.5112504148765</v>
      </c>
      <c r="H65" s="49">
        <f t="shared" si="39"/>
        <v>5877.9969734570204</v>
      </c>
      <c r="I65" s="49">
        <f t="shared" si="39"/>
        <v>8011.2891690197202</v>
      </c>
      <c r="J65" s="49">
        <f t="shared" si="39"/>
        <v>10546.165220609837</v>
      </c>
      <c r="K65" s="49">
        <f t="shared" si="39"/>
        <v>13525.407863569832</v>
      </c>
    </row>
    <row r="66" spans="1:13" x14ac:dyDescent="0.2">
      <c r="A66" s="22" t="s">
        <v>54</v>
      </c>
      <c r="B66" s="54">
        <f>SUM(B63:B65)</f>
        <v>31000</v>
      </c>
      <c r="C66" s="54">
        <f t="shared" ref="C66:K66" si="40">SUM(C63:C65)</f>
        <v>32593.75</v>
      </c>
      <c r="D66" s="54">
        <f t="shared" si="40"/>
        <v>33837.962556530518</v>
      </c>
      <c r="E66" s="54">
        <f t="shared" si="40"/>
        <v>35385.195582804197</v>
      </c>
      <c r="F66" s="54">
        <f t="shared" si="40"/>
        <v>37271.744256003687</v>
      </c>
      <c r="G66" s="54">
        <f t="shared" si="40"/>
        <v>39533.72555802024</v>
      </c>
      <c r="H66" s="54">
        <f t="shared" si="40"/>
        <v>42211.227462363764</v>
      </c>
      <c r="I66" s="54">
        <f t="shared" si="40"/>
        <v>45348.479297995014</v>
      </c>
      <c r="J66" s="54">
        <f t="shared" si="40"/>
        <v>48994.27182800982</v>
      </c>
      <c r="K66" s="54">
        <f t="shared" si="40"/>
        <v>53202.421816931375</v>
      </c>
    </row>
    <row r="67" spans="1:13" x14ac:dyDescent="0.2">
      <c r="A67" s="23" t="s">
        <v>55</v>
      </c>
      <c r="B67" s="58">
        <f>+B60+B66</f>
        <v>51000</v>
      </c>
      <c r="C67" s="58">
        <f t="shared" ref="C67:K67" si="41">+C60+C66</f>
        <v>54735.230991238655</v>
      </c>
      <c r="D67" s="58">
        <f t="shared" si="41"/>
        <v>55095.195388841086</v>
      </c>
      <c r="E67" s="58">
        <f t="shared" si="41"/>
        <v>55754.077489109346</v>
      </c>
      <c r="F67" s="58">
        <f t="shared" si="41"/>
        <v>56666.520170141739</v>
      </c>
      <c r="G67" s="58">
        <f t="shared" si="41"/>
        <v>57859.735645335946</v>
      </c>
      <c r="H67" s="58">
        <f t="shared" si="41"/>
        <v>59364.468508160353</v>
      </c>
      <c r="I67" s="58">
        <f t="shared" si="41"/>
        <v>61214.675066748357</v>
      </c>
      <c r="J67" s="58">
        <f t="shared" si="41"/>
        <v>63447.853268768427</v>
      </c>
      <c r="K67" s="58">
        <f t="shared" si="41"/>
        <v>66105.405815610284</v>
      </c>
    </row>
    <row r="68" spans="1:13" x14ac:dyDescent="0.2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3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3" x14ac:dyDescent="0.2">
      <c r="A70" s="232" t="s">
        <v>56</v>
      </c>
      <c r="B70" s="234" t="s">
        <v>4</v>
      </c>
      <c r="C70" s="235"/>
      <c r="D70" s="235"/>
      <c r="E70" s="235"/>
      <c r="F70" s="235"/>
      <c r="G70" s="235"/>
      <c r="H70" s="235"/>
      <c r="I70" s="235"/>
      <c r="J70" s="235"/>
      <c r="K70" s="236"/>
    </row>
    <row r="71" spans="1:13" x14ac:dyDescent="0.2">
      <c r="A71" s="233"/>
      <c r="B71" s="3">
        <v>2010</v>
      </c>
      <c r="C71" s="3">
        <v>2011</v>
      </c>
      <c r="D71" s="3">
        <v>2012</v>
      </c>
      <c r="E71" s="3">
        <v>2013</v>
      </c>
      <c r="F71" s="3">
        <v>2014</v>
      </c>
      <c r="G71" s="3">
        <v>2015</v>
      </c>
      <c r="H71" s="3">
        <v>2016</v>
      </c>
      <c r="I71" s="3">
        <v>2017</v>
      </c>
      <c r="J71" s="3">
        <v>2018</v>
      </c>
      <c r="K71" s="3">
        <v>2019</v>
      </c>
    </row>
    <row r="72" spans="1:13" x14ac:dyDescent="0.2">
      <c r="A72" s="26" t="s">
        <v>57</v>
      </c>
      <c r="B72" s="57">
        <f>+B43</f>
        <v>0</v>
      </c>
      <c r="C72" s="57">
        <f>+C43</f>
        <v>776.89765790532419</v>
      </c>
      <c r="D72" s="57">
        <f t="shared" ref="D72:K72" si="42">+D43</f>
        <v>740.64027334546336</v>
      </c>
      <c r="E72" s="57">
        <f t="shared" si="42"/>
        <v>964.12383563934145</v>
      </c>
      <c r="F72" s="57">
        <f t="shared" si="42"/>
        <v>1397.4964415572558</v>
      </c>
      <c r="G72" s="57">
        <f t="shared" si="42"/>
        <v>2063.6410637818299</v>
      </c>
      <c r="H72" s="57">
        <f t="shared" si="42"/>
        <v>2988.5012709617968</v>
      </c>
      <c r="I72" s="57">
        <f t="shared" si="42"/>
        <v>4200.7518577795472</v>
      </c>
      <c r="J72" s="57">
        <f t="shared" si="42"/>
        <v>5732.0810386728717</v>
      </c>
      <c r="K72" s="57">
        <f t="shared" si="42"/>
        <v>7617.5007355076177</v>
      </c>
    </row>
    <row r="73" spans="1:13" x14ac:dyDescent="0.2">
      <c r="A73" s="27" t="s">
        <v>58</v>
      </c>
      <c r="B73" s="59">
        <f>+(B46-B43)-(B58-B57)</f>
        <v>1000</v>
      </c>
      <c r="C73" s="59">
        <f t="shared" ref="C73:K73" si="43">+(C46-C43)-(C58-C57)</f>
        <v>561.94444444444434</v>
      </c>
      <c r="D73" s="59">
        <f t="shared" si="43"/>
        <v>462.01569811956506</v>
      </c>
      <c r="E73" s="59">
        <f t="shared" si="43"/>
        <v>267.32660594258778</v>
      </c>
      <c r="F73" s="59">
        <f t="shared" si="43"/>
        <v>50.22026145171003</v>
      </c>
      <c r="G73" s="59">
        <f t="shared" si="43"/>
        <v>-191.25371170602466</v>
      </c>
      <c r="H73" s="59">
        <f t="shared" si="43"/>
        <v>-459.65373278713014</v>
      </c>
      <c r="I73" s="59">
        <f t="shared" si="43"/>
        <v>-757.79837404277623</v>
      </c>
      <c r="J73" s="59">
        <f t="shared" si="43"/>
        <v>-1088.7955039973513</v>
      </c>
      <c r="K73" s="59">
        <f t="shared" si="43"/>
        <v>-1456.0717388941957</v>
      </c>
    </row>
    <row r="74" spans="1:13" x14ac:dyDescent="0.2">
      <c r="A74" s="27" t="s">
        <v>59</v>
      </c>
      <c r="B74" s="59">
        <f>+B49</f>
        <v>50000</v>
      </c>
      <c r="C74" s="59">
        <f t="shared" ref="C74:K74" si="44">+C49</f>
        <v>50000</v>
      </c>
      <c r="D74" s="59">
        <f t="shared" si="44"/>
        <v>50000</v>
      </c>
      <c r="E74" s="59">
        <f t="shared" si="44"/>
        <v>50000</v>
      </c>
      <c r="F74" s="59">
        <f t="shared" si="44"/>
        <v>50000</v>
      </c>
      <c r="G74" s="59">
        <f t="shared" si="44"/>
        <v>50000</v>
      </c>
      <c r="H74" s="59">
        <f t="shared" si="44"/>
        <v>50000</v>
      </c>
      <c r="I74" s="59">
        <f t="shared" si="44"/>
        <v>50000</v>
      </c>
      <c r="J74" s="59">
        <f t="shared" si="44"/>
        <v>50000</v>
      </c>
      <c r="K74" s="59">
        <f t="shared" si="44"/>
        <v>50000</v>
      </c>
    </row>
    <row r="75" spans="1:13" x14ac:dyDescent="0.2">
      <c r="A75" s="28" t="s">
        <v>60</v>
      </c>
      <c r="B75" s="58">
        <f>SUM(B72:B74)</f>
        <v>51000</v>
      </c>
      <c r="C75" s="58">
        <f>SUM(C72:C74)</f>
        <v>51338.842102349765</v>
      </c>
      <c r="D75" s="58">
        <f>SUM(D72:D74)</f>
        <v>51202.655971465028</v>
      </c>
      <c r="E75" s="58">
        <f t="shared" ref="E75:K75" si="45">SUM(E72:E74)</f>
        <v>51231.450441581932</v>
      </c>
      <c r="F75" s="58">
        <f t="shared" si="45"/>
        <v>51447.716703008962</v>
      </c>
      <c r="G75" s="58">
        <f t="shared" si="45"/>
        <v>51872.387352075806</v>
      </c>
      <c r="H75" s="58">
        <f t="shared" si="45"/>
        <v>52528.847538174668</v>
      </c>
      <c r="I75" s="58">
        <f t="shared" si="45"/>
        <v>53442.953483736768</v>
      </c>
      <c r="J75" s="58">
        <f t="shared" si="45"/>
        <v>54643.285534675524</v>
      </c>
      <c r="K75" s="58">
        <f t="shared" si="45"/>
        <v>56161.428996613424</v>
      </c>
    </row>
    <row r="76" spans="1:13" x14ac:dyDescent="0.2">
      <c r="A76" s="29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1:13" x14ac:dyDescent="0.2">
      <c r="A77" s="26" t="s">
        <v>61</v>
      </c>
      <c r="B77" s="57">
        <f>+B57</f>
        <v>0</v>
      </c>
      <c r="C77" s="57">
        <f t="shared" ref="C77:K77" si="46">+C57</f>
        <v>0</v>
      </c>
      <c r="D77" s="57">
        <f t="shared" si="46"/>
        <v>0</v>
      </c>
      <c r="E77" s="57">
        <f t="shared" si="46"/>
        <v>0</v>
      </c>
      <c r="F77" s="57">
        <f t="shared" si="46"/>
        <v>0</v>
      </c>
      <c r="G77" s="57">
        <f t="shared" si="46"/>
        <v>0</v>
      </c>
      <c r="H77" s="57">
        <f t="shared" si="46"/>
        <v>0</v>
      </c>
      <c r="I77" s="57">
        <f t="shared" si="46"/>
        <v>0</v>
      </c>
      <c r="J77" s="57">
        <f t="shared" si="46"/>
        <v>0</v>
      </c>
      <c r="K77" s="57">
        <f t="shared" si="46"/>
        <v>0</v>
      </c>
    </row>
    <row r="78" spans="1:13" x14ac:dyDescent="0.2">
      <c r="A78" s="27" t="s">
        <v>62</v>
      </c>
      <c r="B78" s="59">
        <f>+B59</f>
        <v>20000</v>
      </c>
      <c r="C78" s="59">
        <f t="shared" ref="C78:K78" si="47">+C59</f>
        <v>18745.092102349769</v>
      </c>
      <c r="D78" s="59">
        <f t="shared" si="47"/>
        <v>17364.693414934514</v>
      </c>
      <c r="E78" s="59">
        <f t="shared" si="47"/>
        <v>15846.254858777733</v>
      </c>
      <c r="F78" s="59">
        <f t="shared" si="47"/>
        <v>14175.972447005273</v>
      </c>
      <c r="G78" s="59">
        <f t="shared" si="47"/>
        <v>12338.661794055568</v>
      </c>
      <c r="H78" s="59">
        <f t="shared" si="47"/>
        <v>10317.620075810893</v>
      </c>
      <c r="I78" s="59">
        <f t="shared" si="47"/>
        <v>8094.4741857417503</v>
      </c>
      <c r="J78" s="59">
        <f t="shared" si="47"/>
        <v>5649.0137066656935</v>
      </c>
      <c r="K78" s="59">
        <f t="shared" si="47"/>
        <v>2959.0071796820303</v>
      </c>
      <c r="M78" s="11"/>
    </row>
    <row r="79" spans="1:13" x14ac:dyDescent="0.2">
      <c r="A79" s="27" t="s">
        <v>63</v>
      </c>
      <c r="B79" s="59">
        <f>+B66</f>
        <v>31000</v>
      </c>
      <c r="C79" s="59">
        <f t="shared" ref="C79:K79" si="48">+C66</f>
        <v>32593.75</v>
      </c>
      <c r="D79" s="59">
        <f t="shared" si="48"/>
        <v>33837.962556530518</v>
      </c>
      <c r="E79" s="59">
        <f t="shared" si="48"/>
        <v>35385.195582804197</v>
      </c>
      <c r="F79" s="59">
        <f t="shared" si="48"/>
        <v>37271.744256003687</v>
      </c>
      <c r="G79" s="59">
        <f t="shared" si="48"/>
        <v>39533.72555802024</v>
      </c>
      <c r="H79" s="59">
        <f t="shared" si="48"/>
        <v>42211.227462363764</v>
      </c>
      <c r="I79" s="59">
        <f t="shared" si="48"/>
        <v>45348.479297995014</v>
      </c>
      <c r="J79" s="59">
        <f t="shared" si="48"/>
        <v>48994.27182800982</v>
      </c>
      <c r="K79" s="59">
        <f t="shared" si="48"/>
        <v>53202.421816931375</v>
      </c>
      <c r="L79" s="127"/>
      <c r="M79" s="121"/>
    </row>
    <row r="80" spans="1:13" x14ac:dyDescent="0.2">
      <c r="A80" s="28" t="s">
        <v>64</v>
      </c>
      <c r="B80" s="58">
        <f>SUM(B77:B79)</f>
        <v>51000</v>
      </c>
      <c r="C80" s="58">
        <f t="shared" ref="C80:K80" si="49">SUM(C77:C79)</f>
        <v>51338.842102349765</v>
      </c>
      <c r="D80" s="58">
        <f t="shared" si="49"/>
        <v>51202.655971465036</v>
      </c>
      <c r="E80" s="58">
        <f t="shared" si="49"/>
        <v>51231.450441581932</v>
      </c>
      <c r="F80" s="58">
        <f t="shared" si="49"/>
        <v>51447.716703008962</v>
      </c>
      <c r="G80" s="58">
        <f t="shared" si="49"/>
        <v>51872.387352075806</v>
      </c>
      <c r="H80" s="58">
        <f t="shared" si="49"/>
        <v>52528.847538174654</v>
      </c>
      <c r="I80" s="58">
        <f t="shared" si="49"/>
        <v>53442.953483736768</v>
      </c>
      <c r="J80" s="58">
        <f t="shared" si="49"/>
        <v>54643.28553467551</v>
      </c>
      <c r="K80" s="58">
        <f t="shared" si="49"/>
        <v>56161.428996613409</v>
      </c>
    </row>
    <row r="81" spans="1:11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x14ac:dyDescent="0.2">
      <c r="A82" s="1" t="s">
        <v>65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">
      <c r="A83" s="30" t="s">
        <v>58</v>
      </c>
      <c r="B83" s="60">
        <f>+B73</f>
        <v>1000</v>
      </c>
      <c r="C83" s="60">
        <f t="shared" ref="C83:K83" si="50">+C73</f>
        <v>561.94444444444434</v>
      </c>
      <c r="D83" s="60">
        <f t="shared" si="50"/>
        <v>462.01569811956506</v>
      </c>
      <c r="E83" s="60">
        <f t="shared" si="50"/>
        <v>267.32660594258778</v>
      </c>
      <c r="F83" s="60">
        <f t="shared" si="50"/>
        <v>50.22026145171003</v>
      </c>
      <c r="G83" s="60">
        <f t="shared" si="50"/>
        <v>-191.25371170602466</v>
      </c>
      <c r="H83" s="60">
        <f t="shared" si="50"/>
        <v>-459.65373278713014</v>
      </c>
      <c r="I83" s="60">
        <f t="shared" si="50"/>
        <v>-757.79837404277623</v>
      </c>
      <c r="J83" s="60">
        <f t="shared" si="50"/>
        <v>-1088.7955039973513</v>
      </c>
      <c r="K83" s="60">
        <f t="shared" si="50"/>
        <v>-1456.0717388941957</v>
      </c>
    </row>
    <row r="84" spans="1:11" x14ac:dyDescent="0.2">
      <c r="A84" s="30" t="s">
        <v>66</v>
      </c>
      <c r="B84" s="61">
        <f>+B78+B79-B74</f>
        <v>1000</v>
      </c>
      <c r="C84" s="61">
        <f t="shared" ref="C84:K84" si="51">+C78+C79-C74</f>
        <v>1338.8421023497649</v>
      </c>
      <c r="D84" s="61">
        <f t="shared" si="51"/>
        <v>1202.6559714650357</v>
      </c>
      <c r="E84" s="61">
        <f t="shared" si="51"/>
        <v>1231.450441581932</v>
      </c>
      <c r="F84" s="61">
        <f t="shared" si="51"/>
        <v>1447.7167030089622</v>
      </c>
      <c r="G84" s="61">
        <f t="shared" si="51"/>
        <v>1872.3873520758061</v>
      </c>
      <c r="H84" s="61">
        <f t="shared" si="51"/>
        <v>2528.8475381746539</v>
      </c>
      <c r="I84" s="61">
        <f t="shared" si="51"/>
        <v>3442.9534837367682</v>
      </c>
      <c r="J84" s="61">
        <f t="shared" si="51"/>
        <v>4643.2855346755096</v>
      </c>
      <c r="K84" s="61">
        <f t="shared" si="51"/>
        <v>6161.4289966134093</v>
      </c>
    </row>
    <row r="85" spans="1:11" x14ac:dyDescent="0.2">
      <c r="A85" s="30" t="s">
        <v>67</v>
      </c>
      <c r="B85" s="56">
        <f>+B84-B83</f>
        <v>0</v>
      </c>
      <c r="C85" s="56">
        <f t="shared" ref="C85:K85" si="52">+C84-C83</f>
        <v>776.89765790532056</v>
      </c>
      <c r="D85" s="56">
        <f t="shared" si="52"/>
        <v>740.64027334547063</v>
      </c>
      <c r="E85" s="56">
        <f t="shared" si="52"/>
        <v>964.12383563934418</v>
      </c>
      <c r="F85" s="56">
        <f t="shared" si="52"/>
        <v>1397.4964415572522</v>
      </c>
      <c r="G85" s="56">
        <f t="shared" si="52"/>
        <v>2063.6410637818308</v>
      </c>
      <c r="H85" s="56">
        <f t="shared" si="52"/>
        <v>2988.501270961784</v>
      </c>
      <c r="I85" s="56">
        <f t="shared" si="52"/>
        <v>4200.7518577795445</v>
      </c>
      <c r="J85" s="56">
        <f t="shared" si="52"/>
        <v>5732.0810386728608</v>
      </c>
      <c r="K85" s="56">
        <f t="shared" si="52"/>
        <v>7617.500735507605</v>
      </c>
    </row>
    <row r="86" spans="1:11" x14ac:dyDescent="0.2">
      <c r="A86" s="30" t="s">
        <v>68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x14ac:dyDescent="0.2">
      <c r="A87" s="30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x14ac:dyDescent="0.2">
      <c r="A88" s="30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 x14ac:dyDescent="0.2">
      <c r="A89" s="1" t="s">
        <v>69</v>
      </c>
    </row>
    <row r="90" spans="1:11" x14ac:dyDescent="0.2">
      <c r="A90" s="2" t="s">
        <v>70</v>
      </c>
      <c r="B90" s="128"/>
      <c r="C90" s="94">
        <f t="shared" ref="C90:K90" si="53">+C26/C10</f>
        <v>6.3750000000000001E-2</v>
      </c>
      <c r="D90" s="94">
        <f t="shared" si="53"/>
        <v>8.0016820237473446E-2</v>
      </c>
      <c r="E90" s="94">
        <f t="shared" si="53"/>
        <v>9.4793737527007871E-2</v>
      </c>
      <c r="F90" s="94">
        <f t="shared" si="53"/>
        <v>0.10840135264657196</v>
      </c>
      <c r="G90" s="94">
        <f t="shared" si="53"/>
        <v>0.12092655713695394</v>
      </c>
      <c r="H90" s="94">
        <f t="shared" si="53"/>
        <v>0.13246066125405606</v>
      </c>
      <c r="I90" s="94">
        <f t="shared" si="53"/>
        <v>0.14308714470402742</v>
      </c>
      <c r="J90" s="94">
        <f t="shared" si="53"/>
        <v>0.15288225484140266</v>
      </c>
      <c r="K90" s="94">
        <f t="shared" si="53"/>
        <v>0.16191564189703977</v>
      </c>
    </row>
    <row r="91" spans="1:11" x14ac:dyDescent="0.2">
      <c r="A91" s="2" t="s">
        <v>71</v>
      </c>
      <c r="B91" s="93"/>
      <c r="C91" s="94">
        <f>+C26/B75</f>
        <v>3.125E-2</v>
      </c>
      <c r="D91" s="94">
        <f>+D26/C75</f>
        <v>4.2861554067457348E-2</v>
      </c>
      <c r="E91" s="94">
        <f t="shared" ref="E91:K91" si="54">+E26/D75</f>
        <v>5.600316049601093E-2</v>
      </c>
      <c r="F91" s="94">
        <f t="shared" si="54"/>
        <v>7.040704446632301E-2</v>
      </c>
      <c r="G91" s="94">
        <f t="shared" si="54"/>
        <v>8.6033250671870676E-2</v>
      </c>
      <c r="H91" s="94">
        <f t="shared" si="54"/>
        <v>0.1028144406138139</v>
      </c>
      <c r="I91" s="94">
        <f t="shared" si="54"/>
        <v>0.12064209336345749</v>
      </c>
      <c r="J91" s="94">
        <f t="shared" si="54"/>
        <v>0.13936555002834039</v>
      </c>
      <c r="K91" s="94">
        <f t="shared" si="54"/>
        <v>0.15879378167799391</v>
      </c>
    </row>
    <row r="92" spans="1:11" x14ac:dyDescent="0.2">
      <c r="A92" s="2" t="s">
        <v>72</v>
      </c>
      <c r="B92" s="93"/>
      <c r="C92" s="94">
        <f>+(C22*(1-36.25%)/B75)</f>
        <v>5.6250000000000001E-2</v>
      </c>
      <c r="D92" s="94">
        <f t="shared" ref="D92:K92" si="55">+(D22*(1-36.25%)/C75)</f>
        <v>6.6138269563736585E-2</v>
      </c>
      <c r="E92" s="94">
        <f t="shared" si="55"/>
        <v>7.7623117199409286E-2</v>
      </c>
      <c r="F92" s="94">
        <f t="shared" si="55"/>
        <v>9.0125376438965232E-2</v>
      </c>
      <c r="G92" s="94">
        <f t="shared" si="55"/>
        <v>0.10359901065911091</v>
      </c>
      <c r="H92" s="94">
        <f t="shared" si="55"/>
        <v>0.11797837906978251</v>
      </c>
      <c r="I92" s="94">
        <f t="shared" si="55"/>
        <v>0.13316375166473535</v>
      </c>
      <c r="J92" s="94">
        <f t="shared" si="55"/>
        <v>0.14902113033787673</v>
      </c>
      <c r="K92" s="94">
        <f t="shared" si="55"/>
        <v>0.16538424600085036</v>
      </c>
    </row>
    <row r="93" spans="1:11" x14ac:dyDescent="0.2">
      <c r="A93" s="2" t="s">
        <v>73</v>
      </c>
      <c r="B93" s="129"/>
      <c r="C93" s="94">
        <f>+C26/B79</f>
        <v>5.1411290322580648E-2</v>
      </c>
      <c r="D93" s="94">
        <f t="shared" ref="D93:K93" si="56">+D26/D66</f>
        <v>6.5029404558692744E-2</v>
      </c>
      <c r="E93" s="94">
        <f t="shared" si="56"/>
        <v>8.1037013162235702E-2</v>
      </c>
      <c r="F93" s="94">
        <f t="shared" si="56"/>
        <v>9.677719895638269E-2</v>
      </c>
      <c r="G93" s="94">
        <f t="shared" si="56"/>
        <v>0.11196046527690351</v>
      </c>
      <c r="H93" s="94">
        <f t="shared" si="56"/>
        <v>0.12634625452818085</v>
      </c>
      <c r="I93" s="94">
        <f t="shared" si="56"/>
        <v>0.13974426986475547</v>
      </c>
      <c r="J93" s="94">
        <f t="shared" si="56"/>
        <v>0.15201994701637617</v>
      </c>
      <c r="K93" s="94">
        <f t="shared" si="56"/>
        <v>0.1630943415173656</v>
      </c>
    </row>
    <row r="95" spans="1:11" x14ac:dyDescent="0.2">
      <c r="A95" s="1" t="s">
        <v>74</v>
      </c>
    </row>
    <row r="96" spans="1:11" x14ac:dyDescent="0.2">
      <c r="A96" s="2" t="s">
        <v>75</v>
      </c>
      <c r="B96" s="138"/>
      <c r="C96" s="139">
        <f>+C10/B75</f>
        <v>0.49019607843137253</v>
      </c>
      <c r="D96" s="139">
        <f t="shared" ref="D96:K96" si="57">+D10/C75</f>
        <v>0.53565680241045666</v>
      </c>
      <c r="E96" s="139">
        <f t="shared" si="57"/>
        <v>0.5907896656153574</v>
      </c>
      <c r="F96" s="139">
        <f t="shared" si="57"/>
        <v>0.64950337562553961</v>
      </c>
      <c r="G96" s="139">
        <f t="shared" si="57"/>
        <v>0.71145042667868852</v>
      </c>
      <c r="H96" s="139">
        <f t="shared" si="57"/>
        <v>0.77618848977824817</v>
      </c>
      <c r="I96" s="139">
        <f t="shared" si="57"/>
        <v>0.84313719176522095</v>
      </c>
      <c r="J96" s="139">
        <f t="shared" si="57"/>
        <v>0.91158748392948363</v>
      </c>
      <c r="K96" s="139">
        <f t="shared" si="57"/>
        <v>0.98071921784412264</v>
      </c>
    </row>
    <row r="97" spans="1:11" x14ac:dyDescent="0.2">
      <c r="A97" s="2" t="s">
        <v>76</v>
      </c>
      <c r="B97" s="128"/>
      <c r="C97" s="140">
        <f>+C84/C83</f>
        <v>2.3825168405631016</v>
      </c>
      <c r="D97" s="140">
        <f t="shared" ref="D97:K97" si="58">+D84/D83</f>
        <v>2.6030630049150414</v>
      </c>
      <c r="E97" s="140">
        <f t="shared" si="58"/>
        <v>4.6065390208350738</v>
      </c>
      <c r="F97" s="140">
        <f t="shared" si="58"/>
        <v>28.827343011764956</v>
      </c>
      <c r="G97" s="140">
        <f t="shared" si="58"/>
        <v>-9.7900706625440321</v>
      </c>
      <c r="H97" s="140">
        <f t="shared" si="58"/>
        <v>-5.501636031194348</v>
      </c>
      <c r="I97" s="140">
        <f t="shared" si="58"/>
        <v>-4.5433635141877726</v>
      </c>
      <c r="J97" s="140">
        <f t="shared" si="58"/>
        <v>-4.2646075572762516</v>
      </c>
      <c r="K97" s="140">
        <f t="shared" si="58"/>
        <v>-4.2315421912471614</v>
      </c>
    </row>
    <row r="98" spans="1:1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x14ac:dyDescent="0.2">
      <c r="A99" s="1" t="s">
        <v>77</v>
      </c>
      <c r="B99" s="13"/>
      <c r="C99" s="14"/>
      <c r="D99" s="14"/>
      <c r="E99" s="14"/>
      <c r="F99" s="14"/>
      <c r="G99" s="14"/>
      <c r="H99" s="14"/>
      <c r="I99" s="14"/>
      <c r="J99" s="14"/>
      <c r="K99" s="14"/>
    </row>
    <row r="100" spans="1:11" x14ac:dyDescent="0.2">
      <c r="A100" s="2" t="s">
        <v>152</v>
      </c>
      <c r="B100" s="94"/>
      <c r="C100" s="94">
        <f>+C78/C75</f>
        <v>0.36512494896124292</v>
      </c>
      <c r="D100" s="94">
        <f t="shared" ref="D100:K100" si="59">+D78/D75</f>
        <v>0.33913657573958206</v>
      </c>
      <c r="E100" s="94">
        <f t="shared" si="59"/>
        <v>0.30930716819830933</v>
      </c>
      <c r="F100" s="94">
        <f t="shared" si="59"/>
        <v>0.27554133313318024</v>
      </c>
      <c r="G100" s="94">
        <f t="shared" si="59"/>
        <v>0.23786570127009596</v>
      </c>
      <c r="H100" s="94">
        <f t="shared" si="59"/>
        <v>0.19641816943180973</v>
      </c>
      <c r="I100" s="94">
        <f t="shared" si="59"/>
        <v>0.15146008328684493</v>
      </c>
      <c r="J100" s="94">
        <f t="shared" si="59"/>
        <v>0.10337983251539558</v>
      </c>
      <c r="K100" s="94">
        <f t="shared" si="59"/>
        <v>5.2687533642715188E-2</v>
      </c>
    </row>
    <row r="101" spans="1:11" x14ac:dyDescent="0.2">
      <c r="A101" s="2" t="s">
        <v>153</v>
      </c>
      <c r="B101" s="90"/>
      <c r="C101" s="90">
        <f>+C75/C79</f>
        <v>1.575113084635851</v>
      </c>
      <c r="D101" s="90">
        <f t="shared" ref="D101:K101" si="60">+D75/D79</f>
        <v>1.5131719554900693</v>
      </c>
      <c r="E101" s="90">
        <f t="shared" si="60"/>
        <v>1.4478215987727474</v>
      </c>
      <c r="F101" s="90">
        <f t="shared" si="60"/>
        <v>1.380340999059142</v>
      </c>
      <c r="G101" s="90">
        <f t="shared" si="60"/>
        <v>1.3121047060426212</v>
      </c>
      <c r="H101" s="90">
        <f t="shared" si="60"/>
        <v>1.2444283356841557</v>
      </c>
      <c r="I101" s="90">
        <f t="shared" si="60"/>
        <v>1.1784949420806627</v>
      </c>
      <c r="J101" s="90">
        <f t="shared" si="60"/>
        <v>1.1152994726913399</v>
      </c>
      <c r="K101" s="90">
        <f t="shared" si="60"/>
        <v>1.0556179038214453</v>
      </c>
    </row>
    <row r="102" spans="1:11" x14ac:dyDescent="0.2">
      <c r="A102" s="30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">
      <c r="A103" s="230" t="s">
        <v>78</v>
      </c>
      <c r="B103" s="227" t="s">
        <v>4</v>
      </c>
      <c r="C103" s="228"/>
      <c r="D103" s="228"/>
      <c r="E103" s="228"/>
      <c r="F103" s="228"/>
      <c r="G103" s="228"/>
      <c r="H103" s="228"/>
      <c r="I103" s="228"/>
      <c r="J103" s="228"/>
      <c r="K103" s="229"/>
    </row>
    <row r="104" spans="1:11" x14ac:dyDescent="0.2">
      <c r="A104" s="231"/>
      <c r="B104" s="91">
        <v>2010</v>
      </c>
      <c r="C104" s="91">
        <v>2011</v>
      </c>
      <c r="D104" s="91">
        <v>2012</v>
      </c>
      <c r="E104" s="91">
        <v>2013</v>
      </c>
      <c r="F104" s="91">
        <v>2014</v>
      </c>
      <c r="G104" s="91">
        <v>2015</v>
      </c>
      <c r="H104" s="91">
        <v>2016</v>
      </c>
      <c r="I104" s="91">
        <v>2017</v>
      </c>
      <c r="J104" s="91">
        <v>2018</v>
      </c>
      <c r="K104" s="91">
        <v>2019</v>
      </c>
    </row>
    <row r="105" spans="1:11" x14ac:dyDescent="0.2">
      <c r="A105" s="31" t="s">
        <v>79</v>
      </c>
      <c r="B105" s="32"/>
      <c r="C105" s="33"/>
      <c r="D105" s="33"/>
      <c r="E105" s="33"/>
      <c r="F105" s="33"/>
      <c r="G105" s="33"/>
      <c r="H105" s="33"/>
      <c r="I105" s="33"/>
      <c r="J105" s="33"/>
      <c r="K105" s="34"/>
    </row>
    <row r="106" spans="1:11" x14ac:dyDescent="0.2">
      <c r="A106" s="35" t="s">
        <v>80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62"/>
    </row>
    <row r="107" spans="1:11" x14ac:dyDescent="0.2">
      <c r="A107" s="19" t="s">
        <v>81</v>
      </c>
      <c r="B107" s="92"/>
      <c r="C107" s="92">
        <f>+B44+C10-C44</f>
        <v>22916.666666666668</v>
      </c>
      <c r="D107" s="92">
        <f t="shared" ref="D107:K107" si="61">+C44+D10-D44</f>
        <v>27291.666666666668</v>
      </c>
      <c r="E107" s="92">
        <f t="shared" si="61"/>
        <v>30020.833333333343</v>
      </c>
      <c r="F107" s="92">
        <f t="shared" si="61"/>
        <v>33022.916666666679</v>
      </c>
      <c r="G107" s="92">
        <f t="shared" si="61"/>
        <v>36325.208333333343</v>
      </c>
      <c r="H107" s="92">
        <f t="shared" si="61"/>
        <v>39957.729166666686</v>
      </c>
      <c r="I107" s="92">
        <f t="shared" si="61"/>
        <v>43953.502083333369</v>
      </c>
      <c r="J107" s="92">
        <f t="shared" si="61"/>
        <v>48348.852291666699</v>
      </c>
      <c r="K107" s="92">
        <f t="shared" si="61"/>
        <v>53183.737520833376</v>
      </c>
    </row>
    <row r="108" spans="1:11" x14ac:dyDescent="0.2">
      <c r="A108" s="19" t="s">
        <v>82</v>
      </c>
      <c r="B108" s="48"/>
      <c r="C108" s="48">
        <f>+C11</f>
        <v>0</v>
      </c>
      <c r="D108" s="48">
        <f t="shared" ref="D108:K108" si="62">+D11</f>
        <v>15.537953158106484</v>
      </c>
      <c r="E108" s="48">
        <f t="shared" si="62"/>
        <v>14.812805466909268</v>
      </c>
      <c r="F108" s="48">
        <f t="shared" si="62"/>
        <v>19.282476712786828</v>
      </c>
      <c r="G108" s="48">
        <f t="shared" si="62"/>
        <v>27.949928831145115</v>
      </c>
      <c r="H108" s="48">
        <f t="shared" si="62"/>
        <v>41.272821275636595</v>
      </c>
      <c r="I108" s="48">
        <f t="shared" si="62"/>
        <v>59.770025419235935</v>
      </c>
      <c r="J108" s="48">
        <f t="shared" si="62"/>
        <v>84.015037155590946</v>
      </c>
      <c r="K108" s="48">
        <f t="shared" si="62"/>
        <v>114.64162077345743</v>
      </c>
    </row>
    <row r="109" spans="1:11" x14ac:dyDescent="0.2">
      <c r="A109" s="36" t="s">
        <v>83</v>
      </c>
      <c r="B109" s="50"/>
      <c r="C109" s="50">
        <f>SUM(C107:C108)</f>
        <v>22916.666666666668</v>
      </c>
      <c r="D109" s="50">
        <f t="shared" ref="D109:K109" si="63">SUM(D107:D108)</f>
        <v>27307.204619824774</v>
      </c>
      <c r="E109" s="50">
        <f t="shared" si="63"/>
        <v>30035.646138800254</v>
      </c>
      <c r="F109" s="50">
        <f t="shared" si="63"/>
        <v>33042.199143379468</v>
      </c>
      <c r="G109" s="50">
        <f t="shared" si="63"/>
        <v>36353.158262164485</v>
      </c>
      <c r="H109" s="50">
        <f t="shared" si="63"/>
        <v>39999.00198794232</v>
      </c>
      <c r="I109" s="50">
        <f t="shared" si="63"/>
        <v>44013.272108752608</v>
      </c>
      <c r="J109" s="50">
        <f t="shared" si="63"/>
        <v>48432.867328822293</v>
      </c>
      <c r="K109" s="50">
        <f t="shared" si="63"/>
        <v>53298.379141606834</v>
      </c>
    </row>
    <row r="110" spans="1:11" x14ac:dyDescent="0.2">
      <c r="A110" s="35" t="s">
        <v>84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62"/>
    </row>
    <row r="111" spans="1:11" x14ac:dyDescent="0.2">
      <c r="A111" s="19" t="s">
        <v>85</v>
      </c>
      <c r="B111" s="92"/>
      <c r="C111" s="92">
        <f>+B53+C14-C53</f>
        <v>13454.861111111111</v>
      </c>
      <c r="D111" s="92">
        <f t="shared" ref="D111:K111" si="64">+C53+D14-D53</f>
        <v>16440.654106734401</v>
      </c>
      <c r="E111" s="92">
        <f>+D53+E14-E53</f>
        <v>17997.701730440087</v>
      </c>
      <c r="F111" s="92">
        <f t="shared" si="64"/>
        <v>19798.877523194802</v>
      </c>
      <c r="G111" s="92">
        <f t="shared" si="64"/>
        <v>21782.595266408207</v>
      </c>
      <c r="H111" s="92">
        <f t="shared" si="64"/>
        <v>23966.950394038329</v>
      </c>
      <c r="I111" s="92">
        <f t="shared" si="64"/>
        <v>26372.043083510896</v>
      </c>
      <c r="J111" s="92">
        <f t="shared" si="64"/>
        <v>29019.980614290725</v>
      </c>
      <c r="K111" s="92">
        <f t="shared" si="64"/>
        <v>31935.082689732633</v>
      </c>
    </row>
    <row r="112" spans="1:11" x14ac:dyDescent="0.2">
      <c r="A112" s="19" t="s">
        <v>142</v>
      </c>
      <c r="B112" s="92"/>
      <c r="C112" s="92">
        <f>+B54+C18-C54</f>
        <v>1800</v>
      </c>
      <c r="D112" s="92">
        <f t="shared" ref="D112:K112" si="65">+C54+D18-D54</f>
        <v>2090</v>
      </c>
      <c r="E112" s="92">
        <f t="shared" si="65"/>
        <v>2194.5</v>
      </c>
      <c r="F112" s="92">
        <f t="shared" si="65"/>
        <v>2304.2249999999999</v>
      </c>
      <c r="G112" s="92">
        <f t="shared" si="65"/>
        <v>2419.4362500000002</v>
      </c>
      <c r="H112" s="92">
        <f t="shared" si="65"/>
        <v>2540.4080625000006</v>
      </c>
      <c r="I112" s="92">
        <f t="shared" si="65"/>
        <v>2667.4284656250011</v>
      </c>
      <c r="J112" s="92">
        <f t="shared" si="65"/>
        <v>2800.7998889062505</v>
      </c>
      <c r="K112" s="92">
        <f t="shared" si="65"/>
        <v>2940.8398833515639</v>
      </c>
    </row>
    <row r="113" spans="1:13" x14ac:dyDescent="0.2">
      <c r="A113" s="19" t="s">
        <v>143</v>
      </c>
      <c r="B113" s="92"/>
      <c r="C113" s="92">
        <f>+B55+C19-C55</f>
        <v>880</v>
      </c>
      <c r="D113" s="92">
        <f t="shared" ref="D113:K113" si="66">+C55+D19-D55</f>
        <v>1070.4000000000001</v>
      </c>
      <c r="E113" s="92">
        <f t="shared" si="66"/>
        <v>1156.0319999999999</v>
      </c>
      <c r="F113" s="92">
        <f t="shared" si="66"/>
        <v>1248.5145600000003</v>
      </c>
      <c r="G113" s="92">
        <f t="shared" si="66"/>
        <v>1348.3957248000004</v>
      </c>
      <c r="H113" s="92">
        <f t="shared" si="66"/>
        <v>1456.2673827840003</v>
      </c>
      <c r="I113" s="92">
        <f t="shared" si="66"/>
        <v>1572.7687734067206</v>
      </c>
      <c r="J113" s="92">
        <f t="shared" si="66"/>
        <v>1698.5902752792583</v>
      </c>
      <c r="K113" s="92">
        <f t="shared" si="66"/>
        <v>1834.477497301599</v>
      </c>
    </row>
    <row r="114" spans="1:13" x14ac:dyDescent="0.2">
      <c r="A114" s="19" t="s">
        <v>144</v>
      </c>
      <c r="B114" s="92"/>
      <c r="C114" s="92">
        <f>+B56+C25-C56</f>
        <v>0</v>
      </c>
      <c r="D114" s="92">
        <f t="shared" ref="D114:K114" si="67">+C56+D25-D56</f>
        <v>906.25</v>
      </c>
      <c r="E114" s="92">
        <f t="shared" si="67"/>
        <v>1251.2434144977462</v>
      </c>
      <c r="F114" s="92">
        <f t="shared" si="67"/>
        <v>1630.5452205013266</v>
      </c>
      <c r="G114" s="92">
        <f t="shared" si="67"/>
        <v>2051.0704954926623</v>
      </c>
      <c r="H114" s="92">
        <f t="shared" si="67"/>
        <v>2516.8669592265765</v>
      </c>
      <c r="I114" s="92">
        <f t="shared" si="67"/>
        <v>3032.621258397955</v>
      </c>
      <c r="J114" s="92">
        <f t="shared" si="67"/>
        <v>3603.5002694173227</v>
      </c>
      <c r="K114" s="92">
        <f t="shared" si="67"/>
        <v>4235.1978747960693</v>
      </c>
    </row>
    <row r="115" spans="1:13" x14ac:dyDescent="0.2">
      <c r="A115" s="36" t="s">
        <v>86</v>
      </c>
      <c r="B115" s="50"/>
      <c r="C115" s="50">
        <f>SUM(C111:C114)</f>
        <v>16134.861111111111</v>
      </c>
      <c r="D115" s="50">
        <f t="shared" ref="D115:K115" si="68">SUM(D111:D114)</f>
        <v>20507.304106734402</v>
      </c>
      <c r="E115" s="50">
        <f t="shared" si="68"/>
        <v>22599.477144937831</v>
      </c>
      <c r="F115" s="50">
        <f t="shared" si="68"/>
        <v>24982.162303696128</v>
      </c>
      <c r="G115" s="50">
        <f t="shared" si="68"/>
        <v>27601.497736700869</v>
      </c>
      <c r="H115" s="50">
        <f t="shared" si="68"/>
        <v>30480.492798548905</v>
      </c>
      <c r="I115" s="50">
        <f t="shared" si="68"/>
        <v>33644.861580940575</v>
      </c>
      <c r="J115" s="50">
        <f t="shared" si="68"/>
        <v>37122.871047893561</v>
      </c>
      <c r="K115" s="50">
        <f t="shared" si="68"/>
        <v>40945.597945181864</v>
      </c>
    </row>
    <row r="116" spans="1:13" x14ac:dyDescent="0.2">
      <c r="A116" s="35" t="s">
        <v>87</v>
      </c>
      <c r="B116" s="51"/>
      <c r="C116" s="51">
        <f>+C109-C115</f>
        <v>6781.8055555555566</v>
      </c>
      <c r="D116" s="51">
        <f>+D109-D115</f>
        <v>6799.9005130903715</v>
      </c>
      <c r="E116" s="51">
        <f t="shared" ref="E116:K116" si="69">+E109-E115</f>
        <v>7436.1689938624222</v>
      </c>
      <c r="F116" s="51">
        <f t="shared" si="69"/>
        <v>8060.0368396833401</v>
      </c>
      <c r="G116" s="51">
        <f t="shared" si="69"/>
        <v>8751.6605254636161</v>
      </c>
      <c r="H116" s="51">
        <f t="shared" si="69"/>
        <v>9518.509189393415</v>
      </c>
      <c r="I116" s="51">
        <f t="shared" si="69"/>
        <v>10368.410527812033</v>
      </c>
      <c r="J116" s="51">
        <f t="shared" si="69"/>
        <v>11309.996280928732</v>
      </c>
      <c r="K116" s="51">
        <f t="shared" si="69"/>
        <v>12352.78119642497</v>
      </c>
    </row>
    <row r="117" spans="1:13" x14ac:dyDescent="0.2">
      <c r="A117" s="19" t="s">
        <v>88</v>
      </c>
      <c r="B117" s="92">
        <f>-B42</f>
        <v>-1000</v>
      </c>
      <c r="C117" s="92">
        <f>+B42-C42</f>
        <v>-250</v>
      </c>
      <c r="D117" s="92">
        <f t="shared" ref="D117:K117" si="70">+C42-D42</f>
        <v>-125.00000000000023</v>
      </c>
      <c r="E117" s="92">
        <f t="shared" si="70"/>
        <v>-137.50000000000023</v>
      </c>
      <c r="F117" s="92">
        <f t="shared" si="70"/>
        <v>-151.25</v>
      </c>
      <c r="G117" s="92">
        <f t="shared" si="70"/>
        <v>-166.37500000000045</v>
      </c>
      <c r="H117" s="92">
        <f t="shared" si="70"/>
        <v>-183.01250000000027</v>
      </c>
      <c r="I117" s="92">
        <f t="shared" si="70"/>
        <v>-201.31375000000025</v>
      </c>
      <c r="J117" s="92">
        <f t="shared" si="70"/>
        <v>-221.44512500000019</v>
      </c>
      <c r="K117" s="92">
        <f t="shared" si="70"/>
        <v>-243.58963750000066</v>
      </c>
    </row>
    <row r="118" spans="1:13" x14ac:dyDescent="0.2">
      <c r="A118" s="36" t="s">
        <v>89</v>
      </c>
      <c r="B118" s="50">
        <f>SUM(B116:B117)</f>
        <v>-1000</v>
      </c>
      <c r="C118" s="50">
        <f>SUM(C116:C117)</f>
        <v>6531.8055555555566</v>
      </c>
      <c r="D118" s="50">
        <f t="shared" ref="D118:K118" si="71">SUM(D116:D117)</f>
        <v>6674.9005130903715</v>
      </c>
      <c r="E118" s="50">
        <f t="shared" si="71"/>
        <v>7298.6689938624222</v>
      </c>
      <c r="F118" s="50">
        <f t="shared" si="71"/>
        <v>7908.7868396833401</v>
      </c>
      <c r="G118" s="50">
        <f t="shared" si="71"/>
        <v>8585.2855254636161</v>
      </c>
      <c r="H118" s="50">
        <f t="shared" si="71"/>
        <v>9335.4966893934143</v>
      </c>
      <c r="I118" s="50">
        <f t="shared" si="71"/>
        <v>10167.096777812032</v>
      </c>
      <c r="J118" s="50">
        <f t="shared" si="71"/>
        <v>11088.551155928732</v>
      </c>
      <c r="K118" s="50">
        <f t="shared" si="71"/>
        <v>12109.191558924969</v>
      </c>
    </row>
    <row r="119" spans="1:13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3" x14ac:dyDescent="0.2">
      <c r="A120" s="31" t="s">
        <v>90</v>
      </c>
      <c r="B120" s="64"/>
      <c r="C120" s="65"/>
      <c r="D120" s="65"/>
      <c r="E120" s="65"/>
      <c r="F120" s="65"/>
      <c r="G120" s="65"/>
      <c r="H120" s="65"/>
      <c r="I120" s="65"/>
      <c r="J120" s="65"/>
      <c r="K120" s="66"/>
    </row>
    <row r="121" spans="1:13" x14ac:dyDescent="0.2">
      <c r="A121" s="19" t="s">
        <v>91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63"/>
    </row>
    <row r="122" spans="1:13" x14ac:dyDescent="0.2">
      <c r="A122" s="19" t="s">
        <v>92</v>
      </c>
      <c r="B122" s="92">
        <f>+B47</f>
        <v>50000</v>
      </c>
      <c r="C122" s="92">
        <f>+C21</f>
        <v>2500</v>
      </c>
      <c r="D122" s="92">
        <f t="shared" ref="D122:K122" si="72">+D21</f>
        <v>2500</v>
      </c>
      <c r="E122" s="92">
        <f t="shared" si="72"/>
        <v>2500</v>
      </c>
      <c r="F122" s="92">
        <f t="shared" si="72"/>
        <v>2500</v>
      </c>
      <c r="G122" s="92">
        <f t="shared" si="72"/>
        <v>2500</v>
      </c>
      <c r="H122" s="92">
        <f t="shared" si="72"/>
        <v>2500</v>
      </c>
      <c r="I122" s="92">
        <f t="shared" si="72"/>
        <v>2500</v>
      </c>
      <c r="J122" s="92">
        <f t="shared" si="72"/>
        <v>2500</v>
      </c>
      <c r="K122" s="92">
        <f t="shared" si="72"/>
        <v>2500</v>
      </c>
      <c r="M122" s="2" t="s">
        <v>39</v>
      </c>
    </row>
    <row r="123" spans="1:13" x14ac:dyDescent="0.2">
      <c r="A123" s="37" t="s">
        <v>93</v>
      </c>
      <c r="B123" s="48">
        <f>+B121-B122</f>
        <v>-50000</v>
      </c>
      <c r="C123" s="48">
        <f t="shared" ref="C123:K123" si="73">+C121-C122</f>
        <v>-2500</v>
      </c>
      <c r="D123" s="48">
        <f t="shared" si="73"/>
        <v>-2500</v>
      </c>
      <c r="E123" s="48">
        <f t="shared" si="73"/>
        <v>-2500</v>
      </c>
      <c r="F123" s="48">
        <f t="shared" si="73"/>
        <v>-2500</v>
      </c>
      <c r="G123" s="48">
        <f t="shared" si="73"/>
        <v>-2500</v>
      </c>
      <c r="H123" s="48">
        <f t="shared" si="73"/>
        <v>-2500</v>
      </c>
      <c r="I123" s="48">
        <f t="shared" si="73"/>
        <v>-2500</v>
      </c>
      <c r="J123" s="48">
        <f t="shared" si="73"/>
        <v>-2500</v>
      </c>
      <c r="K123" s="48">
        <f t="shared" si="73"/>
        <v>-2500</v>
      </c>
    </row>
    <row r="124" spans="1:13" x14ac:dyDescent="0.2">
      <c r="A124" s="31" t="s">
        <v>94</v>
      </c>
      <c r="B124" s="67">
        <f>+B123+B118</f>
        <v>-51000</v>
      </c>
      <c r="C124" s="67">
        <f t="shared" ref="C124:K124" si="74">+C123+C118</f>
        <v>4031.8055555555566</v>
      </c>
      <c r="D124" s="67">
        <f t="shared" si="74"/>
        <v>4174.9005130903715</v>
      </c>
      <c r="E124" s="67">
        <f t="shared" si="74"/>
        <v>4798.6689938624222</v>
      </c>
      <c r="F124" s="67">
        <f t="shared" si="74"/>
        <v>5408.7868396833401</v>
      </c>
      <c r="G124" s="67">
        <f t="shared" si="74"/>
        <v>6085.2855254636161</v>
      </c>
      <c r="H124" s="67">
        <f t="shared" si="74"/>
        <v>6835.4966893934143</v>
      </c>
      <c r="I124" s="67">
        <f t="shared" si="74"/>
        <v>7667.0967778120321</v>
      </c>
      <c r="J124" s="67">
        <f t="shared" si="74"/>
        <v>8588.5511559287315</v>
      </c>
      <c r="K124" s="67">
        <f t="shared" si="74"/>
        <v>9609.1915589249693</v>
      </c>
    </row>
    <row r="125" spans="1:13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3" x14ac:dyDescent="0.2">
      <c r="A126" s="31" t="s">
        <v>95</v>
      </c>
      <c r="B126" s="68"/>
      <c r="C126" s="125">
        <v>1</v>
      </c>
      <c r="D126" s="125">
        <v>2</v>
      </c>
      <c r="E126" s="125">
        <v>3</v>
      </c>
      <c r="F126" s="125">
        <v>4</v>
      </c>
      <c r="G126" s="125">
        <v>5</v>
      </c>
      <c r="H126" s="125">
        <v>6</v>
      </c>
      <c r="I126" s="125">
        <v>7</v>
      </c>
      <c r="J126" s="125">
        <v>8</v>
      </c>
      <c r="K126" s="126">
        <v>9</v>
      </c>
    </row>
    <row r="127" spans="1:13" x14ac:dyDescent="0.2">
      <c r="A127" s="35" t="s">
        <v>43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63"/>
    </row>
    <row r="128" spans="1:13" x14ac:dyDescent="0.2">
      <c r="A128" s="19" t="s">
        <v>96</v>
      </c>
      <c r="B128" s="92">
        <f>+B59</f>
        <v>20000</v>
      </c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x14ac:dyDescent="0.2">
      <c r="A129" s="19" t="s">
        <v>97</v>
      </c>
      <c r="B129" s="92"/>
      <c r="C129" s="92">
        <f>PPMT(10%,C126,10,-20000)</f>
        <v>1254.9078976502324</v>
      </c>
      <c r="D129" s="92">
        <f t="shared" ref="D129:K129" si="75">PPMT(10%,D126,10,-20000)</f>
        <v>1380.3986874152556</v>
      </c>
      <c r="E129" s="92">
        <f t="shared" si="75"/>
        <v>1518.438556156781</v>
      </c>
      <c r="F129" s="92">
        <f t="shared" si="75"/>
        <v>1670.2824117724592</v>
      </c>
      <c r="G129" s="92">
        <f t="shared" si="75"/>
        <v>1837.3106529497052</v>
      </c>
      <c r="H129" s="92">
        <f t="shared" si="75"/>
        <v>2021.0417182446754</v>
      </c>
      <c r="I129" s="92">
        <f t="shared" si="75"/>
        <v>2223.1458900691432</v>
      </c>
      <c r="J129" s="92">
        <f t="shared" si="75"/>
        <v>2445.4604790760573</v>
      </c>
      <c r="K129" s="92">
        <f t="shared" si="75"/>
        <v>2690.0065269836632</v>
      </c>
    </row>
    <row r="130" spans="1:11" x14ac:dyDescent="0.2">
      <c r="A130" s="19" t="s">
        <v>98</v>
      </c>
      <c r="B130" s="48"/>
      <c r="C130" s="48">
        <f>+C23</f>
        <v>2000</v>
      </c>
      <c r="D130" s="48">
        <f t="shared" ref="D130:K130" si="76">+D23</f>
        <v>1874.509210234977</v>
      </c>
      <c r="E130" s="48">
        <f t="shared" si="76"/>
        <v>1736.4693414934516</v>
      </c>
      <c r="F130" s="48">
        <f t="shared" si="76"/>
        <v>1584.6254858777734</v>
      </c>
      <c r="G130" s="48">
        <f t="shared" si="76"/>
        <v>1417.5972447005274</v>
      </c>
      <c r="H130" s="48">
        <f t="shared" si="76"/>
        <v>1233.866179405557</v>
      </c>
      <c r="I130" s="48">
        <f t="shared" si="76"/>
        <v>1031.7620075810894</v>
      </c>
      <c r="J130" s="48">
        <f t="shared" si="76"/>
        <v>809.44741857417512</v>
      </c>
      <c r="K130" s="48">
        <f t="shared" si="76"/>
        <v>564.90137066656939</v>
      </c>
    </row>
    <row r="131" spans="1:11" x14ac:dyDescent="0.2">
      <c r="A131" s="36" t="s">
        <v>99</v>
      </c>
      <c r="B131" s="50">
        <f>+B130+B129-B128</f>
        <v>-20000</v>
      </c>
      <c r="C131" s="50">
        <f t="shared" ref="C131:K131" si="77">+C130+C129-C128</f>
        <v>3254.9078976502324</v>
      </c>
      <c r="D131" s="50">
        <f t="shared" si="77"/>
        <v>3254.9078976502324</v>
      </c>
      <c r="E131" s="50">
        <f t="shared" si="77"/>
        <v>3254.9078976502324</v>
      </c>
      <c r="F131" s="50">
        <f t="shared" si="77"/>
        <v>3254.9078976502324</v>
      </c>
      <c r="G131" s="50">
        <f t="shared" si="77"/>
        <v>3254.9078976502324</v>
      </c>
      <c r="H131" s="50">
        <f t="shared" si="77"/>
        <v>3254.9078976502324</v>
      </c>
      <c r="I131" s="50">
        <f t="shared" si="77"/>
        <v>3254.9078976502324</v>
      </c>
      <c r="J131" s="50">
        <f t="shared" si="77"/>
        <v>3254.9078976502324</v>
      </c>
      <c r="K131" s="50">
        <f t="shared" si="77"/>
        <v>3254.9078976502324</v>
      </c>
    </row>
    <row r="132" spans="1:11" x14ac:dyDescent="0.2">
      <c r="A132" s="37" t="s">
        <v>50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63"/>
    </row>
    <row r="133" spans="1:11" x14ac:dyDescent="0.2">
      <c r="A133" s="19" t="s">
        <v>100</v>
      </c>
      <c r="B133" s="92">
        <f>+B63</f>
        <v>31000</v>
      </c>
      <c r="C133" s="49"/>
      <c r="D133" s="49"/>
      <c r="E133" s="49"/>
      <c r="F133" s="49"/>
      <c r="G133" s="49"/>
      <c r="H133" s="49"/>
      <c r="I133" s="49"/>
      <c r="J133" s="49"/>
      <c r="K133" s="95"/>
    </row>
    <row r="134" spans="1:11" x14ac:dyDescent="0.2">
      <c r="A134" s="19" t="s">
        <v>101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63"/>
    </row>
    <row r="135" spans="1:11" x14ac:dyDescent="0.2">
      <c r="A135" s="19" t="s">
        <v>102</v>
      </c>
      <c r="B135" s="48"/>
      <c r="C135" s="48">
        <f>+B27</f>
        <v>0</v>
      </c>
      <c r="D135" s="48">
        <f t="shared" ref="D135:K135" si="78">+C27</f>
        <v>956.25</v>
      </c>
      <c r="E135" s="48">
        <f t="shared" si="78"/>
        <v>1320.277533918312</v>
      </c>
      <c r="F135" s="48">
        <f t="shared" si="78"/>
        <v>1720.5063361151931</v>
      </c>
      <c r="G135" s="48">
        <f t="shared" si="78"/>
        <v>2164.2330055888096</v>
      </c>
      <c r="H135" s="48">
        <f t="shared" si="78"/>
        <v>2655.7285845632146</v>
      </c>
      <c r="I135" s="48">
        <f t="shared" si="78"/>
        <v>3199.9382933440493</v>
      </c>
      <c r="J135" s="48">
        <f t="shared" si="78"/>
        <v>3802.3140773851751</v>
      </c>
      <c r="K135" s="48">
        <f t="shared" si="78"/>
        <v>4468.8639644399909</v>
      </c>
    </row>
    <row r="136" spans="1:11" x14ac:dyDescent="0.2">
      <c r="A136" s="36" t="s">
        <v>103</v>
      </c>
      <c r="B136" s="48">
        <f>+B135+B134-B133</f>
        <v>-31000</v>
      </c>
      <c r="C136" s="48">
        <f t="shared" ref="C136:K136" si="79">+C135+C134-C133</f>
        <v>0</v>
      </c>
      <c r="D136" s="48">
        <f t="shared" si="79"/>
        <v>956.25</v>
      </c>
      <c r="E136" s="48">
        <f t="shared" si="79"/>
        <v>1320.277533918312</v>
      </c>
      <c r="F136" s="48">
        <f t="shared" si="79"/>
        <v>1720.5063361151931</v>
      </c>
      <c r="G136" s="48">
        <f t="shared" si="79"/>
        <v>2164.2330055888096</v>
      </c>
      <c r="H136" s="48">
        <f t="shared" si="79"/>
        <v>2655.7285845632146</v>
      </c>
      <c r="I136" s="48">
        <f t="shared" si="79"/>
        <v>3199.9382933440493</v>
      </c>
      <c r="J136" s="48">
        <f t="shared" si="79"/>
        <v>3802.3140773851751</v>
      </c>
      <c r="K136" s="48">
        <f t="shared" si="79"/>
        <v>4468.8639644399909</v>
      </c>
    </row>
    <row r="137" spans="1:11" x14ac:dyDescent="0.2">
      <c r="A137" s="31" t="s">
        <v>104</v>
      </c>
      <c r="B137" s="67">
        <f>+B131+B136</f>
        <v>-51000</v>
      </c>
      <c r="C137" s="67">
        <f t="shared" ref="C137:K137" si="80">+C131+C136</f>
        <v>3254.9078976502324</v>
      </c>
      <c r="D137" s="67">
        <f t="shared" si="80"/>
        <v>4211.1578976502324</v>
      </c>
      <c r="E137" s="67">
        <f t="shared" si="80"/>
        <v>4575.1854315685441</v>
      </c>
      <c r="F137" s="67">
        <f t="shared" si="80"/>
        <v>4975.4142337654257</v>
      </c>
      <c r="G137" s="67">
        <f t="shared" si="80"/>
        <v>5419.140903239042</v>
      </c>
      <c r="H137" s="67">
        <f t="shared" si="80"/>
        <v>5910.6364822134474</v>
      </c>
      <c r="I137" s="67">
        <f t="shared" si="80"/>
        <v>6454.8461909942816</v>
      </c>
      <c r="J137" s="67">
        <f t="shared" si="80"/>
        <v>7057.221975035407</v>
      </c>
      <c r="K137" s="67">
        <f t="shared" si="80"/>
        <v>7723.7718620902233</v>
      </c>
    </row>
    <row r="138" spans="1:11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x14ac:dyDescent="0.2">
      <c r="A139" s="39" t="s">
        <v>105</v>
      </c>
      <c r="B139" s="51">
        <f>+B124-B137</f>
        <v>0</v>
      </c>
      <c r="C139" s="51">
        <f t="shared" ref="C139:K139" si="81">+C124-C137</f>
        <v>776.89765790532419</v>
      </c>
      <c r="D139" s="51">
        <f t="shared" si="81"/>
        <v>-36.257384559860839</v>
      </c>
      <c r="E139" s="51">
        <f t="shared" si="81"/>
        <v>223.48356229387809</v>
      </c>
      <c r="F139" s="51">
        <f t="shared" si="81"/>
        <v>433.37260591791437</v>
      </c>
      <c r="G139" s="51">
        <f t="shared" si="81"/>
        <v>666.14462222457405</v>
      </c>
      <c r="H139" s="51">
        <f t="shared" si="81"/>
        <v>924.86020717996689</v>
      </c>
      <c r="I139" s="51">
        <f t="shared" si="81"/>
        <v>1212.2505868177504</v>
      </c>
      <c r="J139" s="51">
        <f t="shared" si="81"/>
        <v>1531.3291808933245</v>
      </c>
      <c r="K139" s="51">
        <f t="shared" si="81"/>
        <v>1885.419696834746</v>
      </c>
    </row>
    <row r="140" spans="1:11" x14ac:dyDescent="0.2">
      <c r="A140" s="36" t="s">
        <v>106</v>
      </c>
      <c r="B140" s="71">
        <f>-B139</f>
        <v>0</v>
      </c>
      <c r="C140" s="71">
        <f>+B140+C139</f>
        <v>776.89765790532419</v>
      </c>
      <c r="D140" s="71">
        <f t="shared" ref="D140:K140" si="82">+C140+D139</f>
        <v>740.64027334546336</v>
      </c>
      <c r="E140" s="71">
        <f t="shared" si="82"/>
        <v>964.12383563934145</v>
      </c>
      <c r="F140" s="71">
        <f t="shared" si="82"/>
        <v>1397.4964415572558</v>
      </c>
      <c r="G140" s="71">
        <f t="shared" si="82"/>
        <v>2063.6410637818299</v>
      </c>
      <c r="H140" s="71">
        <f t="shared" si="82"/>
        <v>2988.5012709617968</v>
      </c>
      <c r="I140" s="71">
        <f t="shared" si="82"/>
        <v>4200.7518577795472</v>
      </c>
      <c r="J140" s="71">
        <f t="shared" si="82"/>
        <v>5732.0810386728717</v>
      </c>
      <c r="K140" s="71">
        <f t="shared" si="82"/>
        <v>7617.5007355076177</v>
      </c>
    </row>
    <row r="141" spans="1:11" x14ac:dyDescent="0.2">
      <c r="A141" s="30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">
      <c r="A142" s="30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">
      <c r="A143" s="230" t="s">
        <v>107</v>
      </c>
      <c r="B143" s="227" t="s">
        <v>4</v>
      </c>
      <c r="C143" s="228"/>
      <c r="D143" s="228"/>
      <c r="E143" s="228"/>
      <c r="F143" s="228"/>
      <c r="G143" s="228"/>
      <c r="H143" s="228"/>
      <c r="I143" s="228"/>
      <c r="J143" s="228"/>
      <c r="K143" s="229"/>
    </row>
    <row r="144" spans="1:11" x14ac:dyDescent="0.2">
      <c r="A144" s="231"/>
      <c r="B144" s="91">
        <v>2010</v>
      </c>
      <c r="C144" s="91">
        <v>2011</v>
      </c>
      <c r="D144" s="91">
        <v>2012</v>
      </c>
      <c r="E144" s="91">
        <v>2013</v>
      </c>
      <c r="F144" s="91">
        <v>2014</v>
      </c>
      <c r="G144" s="91">
        <v>2015</v>
      </c>
      <c r="H144" s="91">
        <v>2016</v>
      </c>
      <c r="I144" s="91">
        <v>2017</v>
      </c>
      <c r="J144" s="91">
        <v>2018</v>
      </c>
      <c r="K144" s="91">
        <v>2019</v>
      </c>
    </row>
    <row r="145" spans="1:11" x14ac:dyDescent="0.2">
      <c r="A145" s="40" t="s">
        <v>108</v>
      </c>
      <c r="B145" s="80">
        <f>+B118</f>
        <v>-1000</v>
      </c>
      <c r="C145" s="80">
        <f t="shared" ref="C145:K145" si="83">+C118</f>
        <v>6531.8055555555566</v>
      </c>
      <c r="D145" s="80">
        <f t="shared" si="83"/>
        <v>6674.9005130903715</v>
      </c>
      <c r="E145" s="80">
        <f t="shared" si="83"/>
        <v>7298.6689938624222</v>
      </c>
      <c r="F145" s="80">
        <f t="shared" si="83"/>
        <v>7908.7868396833401</v>
      </c>
      <c r="G145" s="80">
        <f t="shared" si="83"/>
        <v>8585.2855254636161</v>
      </c>
      <c r="H145" s="80">
        <f t="shared" si="83"/>
        <v>9335.4966893934143</v>
      </c>
      <c r="I145" s="80">
        <f t="shared" si="83"/>
        <v>10167.096777812032</v>
      </c>
      <c r="J145" s="80">
        <f t="shared" si="83"/>
        <v>11088.551155928732</v>
      </c>
      <c r="K145" s="51">
        <f t="shared" si="83"/>
        <v>12109.191558924969</v>
      </c>
    </row>
    <row r="146" spans="1:11" x14ac:dyDescent="0.2">
      <c r="A146" s="41" t="s">
        <v>109</v>
      </c>
      <c r="B146" s="81">
        <f>+B123</f>
        <v>-50000</v>
      </c>
      <c r="C146" s="81">
        <f t="shared" ref="C146:K146" si="84">+C123</f>
        <v>-2500</v>
      </c>
      <c r="D146" s="81">
        <f t="shared" si="84"/>
        <v>-2500</v>
      </c>
      <c r="E146" s="81">
        <f t="shared" si="84"/>
        <v>-2500</v>
      </c>
      <c r="F146" s="81">
        <f t="shared" si="84"/>
        <v>-2500</v>
      </c>
      <c r="G146" s="81">
        <f t="shared" si="84"/>
        <v>-2500</v>
      </c>
      <c r="H146" s="81">
        <f t="shared" si="84"/>
        <v>-2500</v>
      </c>
      <c r="I146" s="81">
        <f t="shared" si="84"/>
        <v>-2500</v>
      </c>
      <c r="J146" s="81">
        <f t="shared" si="84"/>
        <v>-2500</v>
      </c>
      <c r="K146" s="48">
        <f t="shared" si="84"/>
        <v>-2500</v>
      </c>
    </row>
    <row r="147" spans="1:11" x14ac:dyDescent="0.2">
      <c r="A147" s="28" t="s">
        <v>110</v>
      </c>
      <c r="B147" s="82">
        <f>SUM(B145:B146)</f>
        <v>-51000</v>
      </c>
      <c r="C147" s="82">
        <f t="shared" ref="C147:K147" si="85">SUM(C145:C146)</f>
        <v>4031.8055555555566</v>
      </c>
      <c r="D147" s="82">
        <f t="shared" si="85"/>
        <v>4174.9005130903715</v>
      </c>
      <c r="E147" s="82">
        <f t="shared" si="85"/>
        <v>4798.6689938624222</v>
      </c>
      <c r="F147" s="82">
        <f t="shared" si="85"/>
        <v>5408.7868396833401</v>
      </c>
      <c r="G147" s="82">
        <f t="shared" si="85"/>
        <v>6085.2855254636161</v>
      </c>
      <c r="H147" s="82">
        <f t="shared" si="85"/>
        <v>6835.4966893934143</v>
      </c>
      <c r="I147" s="82">
        <f t="shared" si="85"/>
        <v>7667.0967778120321</v>
      </c>
      <c r="J147" s="82">
        <f t="shared" si="85"/>
        <v>8588.5511559287315</v>
      </c>
      <c r="K147" s="67">
        <f t="shared" si="85"/>
        <v>9609.1915589249693</v>
      </c>
    </row>
    <row r="148" spans="1:11" x14ac:dyDescent="0.2">
      <c r="A148" s="30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x14ac:dyDescent="0.2">
      <c r="A149" s="40" t="s">
        <v>111</v>
      </c>
      <c r="B149" s="80">
        <f>+B131</f>
        <v>-20000</v>
      </c>
      <c r="C149" s="80">
        <f t="shared" ref="C149:K149" si="86">+C131</f>
        <v>3254.9078976502324</v>
      </c>
      <c r="D149" s="80">
        <f t="shared" si="86"/>
        <v>3254.9078976502324</v>
      </c>
      <c r="E149" s="80">
        <f t="shared" si="86"/>
        <v>3254.9078976502324</v>
      </c>
      <c r="F149" s="80">
        <f t="shared" si="86"/>
        <v>3254.9078976502324</v>
      </c>
      <c r="G149" s="80">
        <f t="shared" si="86"/>
        <v>3254.9078976502324</v>
      </c>
      <c r="H149" s="80">
        <f t="shared" si="86"/>
        <v>3254.9078976502324</v>
      </c>
      <c r="I149" s="80">
        <f t="shared" si="86"/>
        <v>3254.9078976502324</v>
      </c>
      <c r="J149" s="80">
        <f t="shared" si="86"/>
        <v>3254.9078976502324</v>
      </c>
      <c r="K149" s="51">
        <f t="shared" si="86"/>
        <v>3254.9078976502324</v>
      </c>
    </row>
    <row r="150" spans="1:11" x14ac:dyDescent="0.2">
      <c r="A150" s="41" t="s">
        <v>112</v>
      </c>
      <c r="B150" s="81">
        <f>+B136</f>
        <v>-31000</v>
      </c>
      <c r="C150" s="81">
        <f t="shared" ref="C150:K150" si="87">+C136</f>
        <v>0</v>
      </c>
      <c r="D150" s="81">
        <f t="shared" si="87"/>
        <v>956.25</v>
      </c>
      <c r="E150" s="81">
        <f t="shared" si="87"/>
        <v>1320.277533918312</v>
      </c>
      <c r="F150" s="81">
        <f t="shared" si="87"/>
        <v>1720.5063361151931</v>
      </c>
      <c r="G150" s="81">
        <f t="shared" si="87"/>
        <v>2164.2330055888096</v>
      </c>
      <c r="H150" s="81">
        <f t="shared" si="87"/>
        <v>2655.7285845632146</v>
      </c>
      <c r="I150" s="81">
        <f t="shared" si="87"/>
        <v>3199.9382933440493</v>
      </c>
      <c r="J150" s="81">
        <f t="shared" si="87"/>
        <v>3802.3140773851751</v>
      </c>
      <c r="K150" s="48">
        <f t="shared" si="87"/>
        <v>4468.8639644399909</v>
      </c>
    </row>
    <row r="151" spans="1:11" x14ac:dyDescent="0.2">
      <c r="A151" s="28" t="s">
        <v>113</v>
      </c>
      <c r="B151" s="82">
        <f>SUM(B149:B150)</f>
        <v>-51000</v>
      </c>
      <c r="C151" s="82">
        <f t="shared" ref="C151:K151" si="88">SUM(C149:C150)</f>
        <v>3254.9078976502324</v>
      </c>
      <c r="D151" s="82">
        <f t="shared" si="88"/>
        <v>4211.1578976502324</v>
      </c>
      <c r="E151" s="82">
        <f t="shared" si="88"/>
        <v>4575.1854315685441</v>
      </c>
      <c r="F151" s="82">
        <f t="shared" si="88"/>
        <v>4975.4142337654257</v>
      </c>
      <c r="G151" s="82">
        <f t="shared" si="88"/>
        <v>5419.140903239042</v>
      </c>
      <c r="H151" s="82">
        <f t="shared" si="88"/>
        <v>5910.6364822134474</v>
      </c>
      <c r="I151" s="82">
        <f t="shared" si="88"/>
        <v>6454.8461909942816</v>
      </c>
      <c r="J151" s="82">
        <f t="shared" si="88"/>
        <v>7057.221975035407</v>
      </c>
      <c r="K151" s="67">
        <f t="shared" si="88"/>
        <v>7723.7718620902233</v>
      </c>
    </row>
    <row r="152" spans="1:11" x14ac:dyDescent="0.2">
      <c r="A152" s="30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1:11" x14ac:dyDescent="0.2">
      <c r="A153" s="40" t="s">
        <v>114</v>
      </c>
      <c r="B153" s="80">
        <f>+B147-B151</f>
        <v>0</v>
      </c>
      <c r="C153" s="80">
        <f t="shared" ref="C153:K153" si="89">+C147-C151</f>
        <v>776.89765790532419</v>
      </c>
      <c r="D153" s="80">
        <f t="shared" si="89"/>
        <v>-36.257384559860839</v>
      </c>
      <c r="E153" s="80">
        <f t="shared" si="89"/>
        <v>223.48356229387809</v>
      </c>
      <c r="F153" s="80">
        <f t="shared" si="89"/>
        <v>433.37260591791437</v>
      </c>
      <c r="G153" s="80">
        <f t="shared" si="89"/>
        <v>666.14462222457405</v>
      </c>
      <c r="H153" s="80">
        <f t="shared" si="89"/>
        <v>924.86020717996689</v>
      </c>
      <c r="I153" s="80">
        <f t="shared" si="89"/>
        <v>1212.2505868177504</v>
      </c>
      <c r="J153" s="80">
        <f t="shared" si="89"/>
        <v>1531.3291808933245</v>
      </c>
      <c r="K153" s="51">
        <f t="shared" si="89"/>
        <v>1885.419696834746</v>
      </c>
    </row>
    <row r="154" spans="1:11" x14ac:dyDescent="0.2">
      <c r="A154" s="42" t="s">
        <v>115</v>
      </c>
      <c r="B154" s="83">
        <f>+B153</f>
        <v>0</v>
      </c>
      <c r="C154" s="71">
        <f>+B154+C153</f>
        <v>776.89765790532419</v>
      </c>
      <c r="D154" s="71">
        <f>+C154+D153</f>
        <v>740.64027334546336</v>
      </c>
      <c r="E154" s="71">
        <f t="shared" ref="E154:K154" si="90">+D154+E153</f>
        <v>964.12383563934145</v>
      </c>
      <c r="F154" s="71">
        <f t="shared" si="90"/>
        <v>1397.4964415572558</v>
      </c>
      <c r="G154" s="71">
        <f t="shared" si="90"/>
        <v>2063.6410637818299</v>
      </c>
      <c r="H154" s="71">
        <f t="shared" si="90"/>
        <v>2988.5012709617968</v>
      </c>
      <c r="I154" s="71">
        <f t="shared" si="90"/>
        <v>4200.7518577795472</v>
      </c>
      <c r="J154" s="71">
        <f t="shared" si="90"/>
        <v>5732.0810386728717</v>
      </c>
      <c r="K154" s="71">
        <f t="shared" si="90"/>
        <v>7617.5007355076177</v>
      </c>
    </row>
    <row r="155" spans="1:11" x14ac:dyDescent="0.2">
      <c r="A155" s="30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">
      <c r="A156" s="30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ht="11.25" customHeight="1" x14ac:dyDescent="0.2">
      <c r="A157" s="225" t="s">
        <v>171</v>
      </c>
      <c r="B157" s="227" t="s">
        <v>4</v>
      </c>
      <c r="C157" s="228"/>
      <c r="D157" s="228"/>
      <c r="E157" s="228"/>
      <c r="F157" s="228"/>
      <c r="G157" s="228"/>
      <c r="H157" s="228"/>
      <c r="I157" s="228"/>
      <c r="J157" s="228"/>
      <c r="K157" s="229"/>
    </row>
    <row r="158" spans="1:11" x14ac:dyDescent="0.2">
      <c r="A158" s="226"/>
      <c r="B158" s="91">
        <v>2010</v>
      </c>
      <c r="C158" s="91">
        <v>2011</v>
      </c>
      <c r="D158" s="91">
        <v>2012</v>
      </c>
      <c r="E158" s="91">
        <v>2013</v>
      </c>
      <c r="F158" s="91">
        <v>2014</v>
      </c>
      <c r="G158" s="91">
        <v>2015</v>
      </c>
      <c r="H158" s="91">
        <v>2016</v>
      </c>
      <c r="I158" s="91">
        <v>2017</v>
      </c>
      <c r="J158" s="91">
        <v>2018</v>
      </c>
      <c r="K158" s="91">
        <v>2019</v>
      </c>
    </row>
    <row r="159" spans="1:11" x14ac:dyDescent="0.2">
      <c r="A159" s="43" t="s">
        <v>113</v>
      </c>
      <c r="B159" s="67">
        <f>+B151</f>
        <v>-51000</v>
      </c>
      <c r="C159" s="67">
        <f t="shared" ref="C159:K159" si="91">+C151</f>
        <v>3254.9078976502324</v>
      </c>
      <c r="D159" s="67">
        <f t="shared" si="91"/>
        <v>4211.1578976502324</v>
      </c>
      <c r="E159" s="67">
        <f t="shared" si="91"/>
        <v>4575.1854315685441</v>
      </c>
      <c r="F159" s="67">
        <f t="shared" si="91"/>
        <v>4975.4142337654257</v>
      </c>
      <c r="G159" s="67">
        <f t="shared" si="91"/>
        <v>5419.140903239042</v>
      </c>
      <c r="H159" s="67">
        <f t="shared" si="91"/>
        <v>5910.6364822134474</v>
      </c>
      <c r="I159" s="67">
        <f t="shared" si="91"/>
        <v>6454.8461909942816</v>
      </c>
      <c r="J159" s="67">
        <f t="shared" si="91"/>
        <v>7057.221975035407</v>
      </c>
      <c r="K159" s="67">
        <f t="shared" si="91"/>
        <v>7723.7718620902233</v>
      </c>
    </row>
    <row r="161" spans="1:11" x14ac:dyDescent="0.2">
      <c r="A161" s="18" t="s">
        <v>117</v>
      </c>
      <c r="B161" s="14" t="s">
        <v>175</v>
      </c>
      <c r="C161" s="14"/>
      <c r="D161" s="14"/>
      <c r="E161" s="14"/>
      <c r="F161" s="14"/>
      <c r="G161" s="14"/>
      <c r="H161" s="14"/>
      <c r="I161" s="14"/>
      <c r="J161" s="14"/>
      <c r="K161" s="44">
        <v>0.125</v>
      </c>
    </row>
    <row r="162" spans="1:11" x14ac:dyDescent="0.2">
      <c r="A162" s="20" t="s">
        <v>118</v>
      </c>
      <c r="B162" s="14" t="s">
        <v>174</v>
      </c>
      <c r="C162" s="14"/>
      <c r="D162" s="14"/>
      <c r="E162" s="14"/>
      <c r="F162" s="14"/>
      <c r="G162" s="14"/>
      <c r="H162" s="14"/>
      <c r="I162" s="14"/>
      <c r="J162" s="14"/>
      <c r="K162" s="5">
        <v>0.76</v>
      </c>
    </row>
    <row r="163" spans="1:11" x14ac:dyDescent="0.2">
      <c r="A163" s="20" t="s">
        <v>119</v>
      </c>
      <c r="B163" s="14" t="s">
        <v>176</v>
      </c>
      <c r="C163" s="14"/>
      <c r="D163" s="14"/>
      <c r="E163" s="14"/>
      <c r="F163" s="14"/>
      <c r="G163" s="14"/>
      <c r="H163" s="14"/>
      <c r="I163" s="14"/>
      <c r="J163" s="14"/>
      <c r="K163" s="45">
        <v>9.7900000000000001E-2</v>
      </c>
    </row>
    <row r="164" spans="1:11" x14ac:dyDescent="0.2">
      <c r="A164" s="130" t="s">
        <v>177</v>
      </c>
      <c r="B164" s="132" t="s">
        <v>178</v>
      </c>
      <c r="C164" s="133"/>
      <c r="D164" s="133"/>
      <c r="E164" s="133"/>
      <c r="F164" s="133"/>
      <c r="G164" s="133"/>
      <c r="H164" s="133"/>
      <c r="I164" s="133"/>
      <c r="J164" s="134"/>
      <c r="K164" s="131">
        <v>6.4799999999999996E-2</v>
      </c>
    </row>
    <row r="165" spans="1:11" x14ac:dyDescent="0.2">
      <c r="A165" s="23" t="s">
        <v>121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46">
        <f>+K161+(K162*K163)</f>
        <v>0.199404</v>
      </c>
    </row>
    <row r="166" spans="1:11" x14ac:dyDescent="0.2">
      <c r="A166" s="30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">
      <c r="A167" s="18" t="s">
        <v>122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9">
        <f>+K22*(1-36.25%)</f>
        <v>9037.1385771614841</v>
      </c>
    </row>
    <row r="168" spans="1:11" x14ac:dyDescent="0.2">
      <c r="A168" s="20" t="s">
        <v>123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7">
        <f>+K167*(1-K165)</f>
        <v>7235.0969963211755</v>
      </c>
    </row>
    <row r="169" spans="1:11" x14ac:dyDescent="0.2">
      <c r="A169" s="23" t="s">
        <v>124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8">
        <f>+K168/K165</f>
        <v>36283.610139822551</v>
      </c>
    </row>
    <row r="170" spans="1:11" x14ac:dyDescent="0.2">
      <c r="A170" s="30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">
      <c r="A171" s="47" t="s">
        <v>125</v>
      </c>
      <c r="B171" s="38">
        <f>+B159</f>
        <v>-51000</v>
      </c>
      <c r="C171" s="38">
        <f t="shared" ref="C171:J171" si="92">+C159</f>
        <v>3254.9078976502324</v>
      </c>
      <c r="D171" s="38">
        <f t="shared" si="92"/>
        <v>4211.1578976502324</v>
      </c>
      <c r="E171" s="38">
        <f t="shared" si="92"/>
        <v>4575.1854315685441</v>
      </c>
      <c r="F171" s="38">
        <f t="shared" si="92"/>
        <v>4975.4142337654257</v>
      </c>
      <c r="G171" s="38">
        <f t="shared" si="92"/>
        <v>5419.140903239042</v>
      </c>
      <c r="H171" s="38">
        <f t="shared" si="92"/>
        <v>5910.6364822134474</v>
      </c>
      <c r="I171" s="38">
        <f t="shared" si="92"/>
        <v>6454.8461909942816</v>
      </c>
      <c r="J171" s="38">
        <f t="shared" si="92"/>
        <v>7057.221975035407</v>
      </c>
      <c r="K171" s="38">
        <f>+K159+K169</f>
        <v>44007.382001912774</v>
      </c>
    </row>
    <row r="172" spans="1:11" x14ac:dyDescent="0.2">
      <c r="A172" s="30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">
      <c r="A173" s="23" t="s">
        <v>173</v>
      </c>
      <c r="B173" s="14">
        <f>+NPV(K165,C171:K171)+B171</f>
        <v>-24111.813103507211</v>
      </c>
      <c r="C173" s="135">
        <f>+IRR(B171:K171)</f>
        <v>7.9739239554021069E-2</v>
      </c>
      <c r="D173" s="14" t="s">
        <v>179</v>
      </c>
      <c r="E173" s="14"/>
      <c r="F173" s="14"/>
      <c r="G173" s="14"/>
      <c r="H173" s="14"/>
      <c r="I173" s="14"/>
      <c r="J173" s="14"/>
      <c r="K173" s="14"/>
    </row>
    <row r="174" spans="1:11" x14ac:dyDescent="0.2">
      <c r="A174" s="24"/>
      <c r="B174" s="14"/>
      <c r="C174" s="136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">
      <c r="A175" s="24" t="s">
        <v>180</v>
      </c>
      <c r="B175" s="14">
        <v>20000</v>
      </c>
      <c r="C175" s="136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">
      <c r="A176" s="24" t="s">
        <v>181</v>
      </c>
      <c r="B176" s="14">
        <f>+B173-B175</f>
        <v>-44111.813103507215</v>
      </c>
      <c r="C176" s="136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">
      <c r="A177" s="24" t="s">
        <v>182</v>
      </c>
      <c r="B177" s="14">
        <f>+B176/31000</f>
        <v>-1.4229617130163619</v>
      </c>
      <c r="C177" s="136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"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">
      <c r="A180" s="225" t="s">
        <v>172</v>
      </c>
      <c r="B180" s="227" t="s">
        <v>4</v>
      </c>
      <c r="C180" s="228"/>
      <c r="D180" s="228"/>
      <c r="E180" s="228"/>
      <c r="F180" s="228"/>
      <c r="G180" s="228"/>
      <c r="H180" s="228"/>
      <c r="I180" s="228"/>
      <c r="J180" s="228"/>
      <c r="K180" s="229"/>
    </row>
    <row r="181" spans="1:11" x14ac:dyDescent="0.2">
      <c r="A181" s="226"/>
      <c r="B181" s="91">
        <v>2010</v>
      </c>
      <c r="C181" s="91">
        <v>2011</v>
      </c>
      <c r="D181" s="91">
        <v>2012</v>
      </c>
      <c r="E181" s="91">
        <v>2013</v>
      </c>
      <c r="F181" s="91">
        <v>2014</v>
      </c>
      <c r="G181" s="91">
        <v>2015</v>
      </c>
      <c r="H181" s="91">
        <v>2016</v>
      </c>
      <c r="I181" s="91">
        <v>2017</v>
      </c>
      <c r="J181" s="91">
        <v>2018</v>
      </c>
      <c r="K181" s="91">
        <v>2019</v>
      </c>
    </row>
    <row r="182" spans="1:11" x14ac:dyDescent="0.2">
      <c r="A182" s="43" t="s">
        <v>113</v>
      </c>
      <c r="B182" s="67">
        <f>+B151</f>
        <v>-51000</v>
      </c>
      <c r="C182" s="67">
        <f t="shared" ref="C182:K182" si="93">+C151</f>
        <v>3254.9078976502324</v>
      </c>
      <c r="D182" s="67">
        <f t="shared" si="93"/>
        <v>4211.1578976502324</v>
      </c>
      <c r="E182" s="67">
        <f t="shared" si="93"/>
        <v>4575.1854315685441</v>
      </c>
      <c r="F182" s="67">
        <f t="shared" si="93"/>
        <v>4975.4142337654257</v>
      </c>
      <c r="G182" s="67">
        <f t="shared" si="93"/>
        <v>5419.140903239042</v>
      </c>
      <c r="H182" s="67">
        <f t="shared" si="93"/>
        <v>5910.6364822134474</v>
      </c>
      <c r="I182" s="67">
        <f t="shared" si="93"/>
        <v>6454.8461909942816</v>
      </c>
      <c r="J182" s="67">
        <f t="shared" si="93"/>
        <v>7057.221975035407</v>
      </c>
      <c r="K182" s="67">
        <f t="shared" si="93"/>
        <v>7723.7718620902233</v>
      </c>
    </row>
    <row r="184" spans="1:11" x14ac:dyDescent="0.2">
      <c r="A184" s="18" t="s">
        <v>117</v>
      </c>
      <c r="B184" s="2" t="s">
        <v>183</v>
      </c>
      <c r="K184" s="44">
        <v>7.6999999999999999E-2</v>
      </c>
    </row>
    <row r="185" spans="1:11" x14ac:dyDescent="0.2">
      <c r="A185" s="20" t="s">
        <v>118</v>
      </c>
      <c r="B185" s="14" t="s">
        <v>174</v>
      </c>
      <c r="K185" s="5">
        <v>0.76</v>
      </c>
    </row>
    <row r="186" spans="1:11" x14ac:dyDescent="0.2">
      <c r="A186" s="20" t="s">
        <v>119</v>
      </c>
      <c r="B186" s="14" t="s">
        <v>176</v>
      </c>
      <c r="K186" s="45">
        <v>9.7900000000000001E-2</v>
      </c>
    </row>
    <row r="187" spans="1:11" x14ac:dyDescent="0.2">
      <c r="A187" s="130" t="s">
        <v>177</v>
      </c>
      <c r="B187" s="132" t="s">
        <v>178</v>
      </c>
      <c r="C187" s="133"/>
      <c r="D187" s="133"/>
      <c r="E187" s="133"/>
      <c r="F187" s="133"/>
      <c r="G187" s="133"/>
      <c r="H187" s="133"/>
      <c r="I187" s="133"/>
      <c r="J187" s="134"/>
      <c r="K187" s="131">
        <v>6.4799999999999996E-2</v>
      </c>
    </row>
    <row r="188" spans="1:11" x14ac:dyDescent="0.2">
      <c r="A188" s="23" t="s">
        <v>121</v>
      </c>
      <c r="K188" s="46">
        <f>+K184+(K185*K186)</f>
        <v>0.15140399999999998</v>
      </c>
    </row>
    <row r="190" spans="1:11" x14ac:dyDescent="0.2">
      <c r="A190" s="123" t="s">
        <v>170</v>
      </c>
      <c r="K190" s="137">
        <f>+K75</f>
        <v>56161.428996613424</v>
      </c>
    </row>
    <row r="192" spans="1:11" x14ac:dyDescent="0.2">
      <c r="A192" s="47" t="s">
        <v>125</v>
      </c>
      <c r="B192" s="38">
        <f>+B182</f>
        <v>-51000</v>
      </c>
      <c r="C192" s="38">
        <f t="shared" ref="C192:J192" si="94">+C182</f>
        <v>3254.9078976502324</v>
      </c>
      <c r="D192" s="38">
        <f t="shared" si="94"/>
        <v>4211.1578976502324</v>
      </c>
      <c r="E192" s="38">
        <f t="shared" si="94"/>
        <v>4575.1854315685441</v>
      </c>
      <c r="F192" s="38">
        <f t="shared" si="94"/>
        <v>4975.4142337654257</v>
      </c>
      <c r="G192" s="38">
        <f t="shared" si="94"/>
        <v>5419.140903239042</v>
      </c>
      <c r="H192" s="38">
        <f t="shared" si="94"/>
        <v>5910.6364822134474</v>
      </c>
      <c r="I192" s="38">
        <f t="shared" si="94"/>
        <v>6454.8461909942816</v>
      </c>
      <c r="J192" s="38">
        <f t="shared" si="94"/>
        <v>7057.221975035407</v>
      </c>
      <c r="K192" s="38">
        <f>+K182+K190</f>
        <v>63885.200858703647</v>
      </c>
    </row>
    <row r="193" spans="1:11" x14ac:dyDescent="0.2">
      <c r="A193" s="30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">
      <c r="A194" s="23" t="s">
        <v>173</v>
      </c>
      <c r="B194" s="14">
        <f>+NPV(K188,C192:K192)+B192</f>
        <v>-11301.492490225573</v>
      </c>
      <c r="C194" s="14"/>
      <c r="D194" s="14"/>
      <c r="E194" s="14"/>
      <c r="F194" s="14"/>
      <c r="G194" s="14"/>
      <c r="H194" s="14"/>
      <c r="I194" s="14"/>
      <c r="J194" s="14"/>
      <c r="K194" s="14"/>
    </row>
  </sheetData>
  <mergeCells count="14">
    <mergeCell ref="A70:A71"/>
    <mergeCell ref="B70:K70"/>
    <mergeCell ref="A103:A104"/>
    <mergeCell ref="B103:K103"/>
    <mergeCell ref="A8:A9"/>
    <mergeCell ref="B8:K8"/>
    <mergeCell ref="A39:A40"/>
    <mergeCell ref="B39:K39"/>
    <mergeCell ref="A180:A181"/>
    <mergeCell ref="B180:K180"/>
    <mergeCell ref="A143:A144"/>
    <mergeCell ref="B143:K143"/>
    <mergeCell ref="A157:A158"/>
    <mergeCell ref="B157:K157"/>
  </mergeCells>
  <printOptions headings="1"/>
  <pageMargins left="0.74803149606299213" right="0.74803149606299213" top="0.98425196850393704" bottom="0.98425196850393704" header="0" footer="0"/>
  <pageSetup paperSize="9" scale="71" orientation="portrait" r:id="rId1"/>
  <headerFooter alignWithMargins="0"/>
  <rowBreaks count="1" manualBreakCount="1">
    <brk id="87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topLeftCell="A153" zoomScaleNormal="100" workbookViewId="0">
      <selection activeCell="A157" sqref="A157:A158"/>
    </sheetView>
  </sheetViews>
  <sheetFormatPr baseColWidth="10" defaultColWidth="11.42578125" defaultRowHeight="11.25" x14ac:dyDescent="0.2"/>
  <cols>
    <col min="1" max="1" width="29" style="2" bestFit="1" customWidth="1"/>
    <col min="2" max="11" width="9" style="2" customWidth="1"/>
    <col min="12" max="12" width="2.7109375" style="2" customWidth="1"/>
    <col min="13" max="13" width="33.5703125" style="2" bestFit="1" customWidth="1"/>
    <col min="14" max="14" width="9" style="2" customWidth="1"/>
    <col min="15" max="16384" width="11.42578125" style="2"/>
  </cols>
  <sheetData>
    <row r="1" spans="1:13" x14ac:dyDescent="0.2">
      <c r="A1" s="1" t="s">
        <v>0</v>
      </c>
    </row>
    <row r="3" spans="1:13" x14ac:dyDescent="0.2">
      <c r="A3" s="2" t="s">
        <v>1</v>
      </c>
      <c r="B3" s="77"/>
      <c r="C3" s="78"/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</row>
    <row r="4" spans="1:13" x14ac:dyDescent="0.2">
      <c r="A4" s="2" t="s">
        <v>2</v>
      </c>
      <c r="B4" s="79"/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</row>
    <row r="5" spans="1:13" x14ac:dyDescent="0.2">
      <c r="A5" s="2" t="s">
        <v>135</v>
      </c>
      <c r="B5" s="79"/>
      <c r="C5" s="79"/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</row>
    <row r="6" spans="1:13" x14ac:dyDescent="0.2">
      <c r="A6" s="2" t="s">
        <v>136</v>
      </c>
      <c r="B6" s="79"/>
      <c r="C6" s="79"/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</row>
    <row r="7" spans="1:13" x14ac:dyDescent="0.2">
      <c r="C7" s="60"/>
      <c r="D7" s="60"/>
    </row>
    <row r="8" spans="1:13" x14ac:dyDescent="0.2">
      <c r="A8" s="232" t="s">
        <v>3</v>
      </c>
      <c r="B8" s="237" t="s">
        <v>4</v>
      </c>
      <c r="C8" s="238"/>
      <c r="D8" s="238"/>
      <c r="E8" s="238"/>
      <c r="F8" s="238"/>
      <c r="G8" s="238"/>
      <c r="H8" s="238"/>
      <c r="I8" s="238"/>
      <c r="J8" s="238"/>
      <c r="K8" s="239"/>
    </row>
    <row r="9" spans="1:13" x14ac:dyDescent="0.2">
      <c r="A9" s="233"/>
      <c r="B9" s="3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M9" s="1" t="s">
        <v>5</v>
      </c>
    </row>
    <row r="10" spans="1:13" x14ac:dyDescent="0.2">
      <c r="A10" s="89" t="s">
        <v>6</v>
      </c>
      <c r="B10" s="75"/>
      <c r="C10" s="75">
        <v>25000</v>
      </c>
      <c r="D10" s="75">
        <f t="shared" ref="D10:K10" si="0">C10*(1+D3)</f>
        <v>27500.000000000004</v>
      </c>
      <c r="E10" s="75">
        <f t="shared" si="0"/>
        <v>30250.000000000007</v>
      </c>
      <c r="F10" s="75">
        <f t="shared" si="0"/>
        <v>33275.000000000007</v>
      </c>
      <c r="G10" s="75">
        <f t="shared" si="0"/>
        <v>36602.500000000015</v>
      </c>
      <c r="H10" s="75">
        <f t="shared" si="0"/>
        <v>40262.750000000022</v>
      </c>
      <c r="I10" s="75">
        <f t="shared" si="0"/>
        <v>44289.025000000031</v>
      </c>
      <c r="J10" s="75">
        <f t="shared" si="0"/>
        <v>48717.927500000034</v>
      </c>
      <c r="K10" s="75">
        <f t="shared" si="0"/>
        <v>53589.720250000042</v>
      </c>
      <c r="M10" s="2" t="s">
        <v>151</v>
      </c>
    </row>
    <row r="11" spans="1:13" x14ac:dyDescent="0.2">
      <c r="A11" s="4" t="s">
        <v>82</v>
      </c>
      <c r="B11" s="49"/>
      <c r="C11" s="49"/>
      <c r="D11" s="49">
        <f>C43*2%</f>
        <v>15.537953158106484</v>
      </c>
      <c r="E11" s="49">
        <f t="shared" ref="E11:K11" si="1">D43*2%</f>
        <v>33.826306266006213</v>
      </c>
      <c r="F11" s="49">
        <f t="shared" si="1"/>
        <v>38.307935676540147</v>
      </c>
      <c r="G11" s="49">
        <f t="shared" si="1"/>
        <v>46.910953212991679</v>
      </c>
      <c r="H11" s="49">
        <f t="shared" si="1"/>
        <v>60.131971350179178</v>
      </c>
      <c r="I11" s="49">
        <f t="shared" si="1"/>
        <v>78.475949856498289</v>
      </c>
      <c r="J11" s="49">
        <f t="shared" si="1"/>
        <v>102.50310978792345</v>
      </c>
      <c r="K11" s="49">
        <f t="shared" si="1"/>
        <v>132.83249471298541</v>
      </c>
      <c r="M11" s="2" t="s">
        <v>150</v>
      </c>
    </row>
    <row r="12" spans="1:13" x14ac:dyDescent="0.2">
      <c r="A12" s="6" t="s">
        <v>149</v>
      </c>
      <c r="B12" s="49"/>
      <c r="C12" s="49">
        <f>SUM(C10:C11)</f>
        <v>25000</v>
      </c>
      <c r="D12" s="49">
        <f t="shared" ref="D12:K12" si="2">SUM(D10:D11)</f>
        <v>27515.537953158109</v>
      </c>
      <c r="E12" s="49">
        <f t="shared" si="2"/>
        <v>30283.826306266012</v>
      </c>
      <c r="F12" s="49">
        <f t="shared" si="2"/>
        <v>33313.307935676545</v>
      </c>
      <c r="G12" s="49">
        <f t="shared" si="2"/>
        <v>36649.41095321301</v>
      </c>
      <c r="H12" s="49">
        <f t="shared" si="2"/>
        <v>40322.881971350202</v>
      </c>
      <c r="I12" s="49">
        <f t="shared" si="2"/>
        <v>44367.500949856527</v>
      </c>
      <c r="J12" s="49">
        <f t="shared" si="2"/>
        <v>48820.43060978796</v>
      </c>
      <c r="K12" s="49">
        <f t="shared" si="2"/>
        <v>53722.55274471303</v>
      </c>
    </row>
    <row r="13" spans="1:13" x14ac:dyDescent="0.2">
      <c r="A13" s="4" t="s">
        <v>7</v>
      </c>
      <c r="B13" s="73"/>
      <c r="C13" s="73">
        <f>B15</f>
        <v>0</v>
      </c>
      <c r="D13" s="73">
        <f>C15</f>
        <v>625</v>
      </c>
      <c r="E13" s="73">
        <f t="shared" ref="E13:K13" si="3">D15</f>
        <v>688.14741471492107</v>
      </c>
      <c r="F13" s="73">
        <f t="shared" si="3"/>
        <v>757.6594294277503</v>
      </c>
      <c r="G13" s="73">
        <f t="shared" si="3"/>
        <v>833.47116398652258</v>
      </c>
      <c r="H13" s="73">
        <f t="shared" si="3"/>
        <v>917.01712305054184</v>
      </c>
      <c r="I13" s="73">
        <f t="shared" si="3"/>
        <v>1009.074248806258</v>
      </c>
      <c r="J13" s="73">
        <f t="shared" si="3"/>
        <v>1110.4954562440216</v>
      </c>
      <c r="K13" s="73">
        <f t="shared" si="3"/>
        <v>1222.2191504078312</v>
      </c>
      <c r="M13" s="2" t="s">
        <v>8</v>
      </c>
    </row>
    <row r="14" spans="1:13" x14ac:dyDescent="0.2">
      <c r="A14" s="4" t="s">
        <v>9</v>
      </c>
      <c r="B14" s="49"/>
      <c r="C14" s="49">
        <f>C16+C15-C13</f>
        <v>15625</v>
      </c>
      <c r="D14" s="49">
        <f t="shared" ref="D14:K14" si="4">D16+D15-D13</f>
        <v>16578.685367873026</v>
      </c>
      <c r="E14" s="49">
        <f t="shared" si="4"/>
        <v>18253.338320978837</v>
      </c>
      <c r="F14" s="49">
        <f t="shared" si="4"/>
        <v>20079.119670235315</v>
      </c>
      <c r="G14" s="49">
        <f t="shared" si="4"/>
        <v>22091.956912277019</v>
      </c>
      <c r="H14" s="49">
        <f t="shared" si="4"/>
        <v>24309.839097105909</v>
      </c>
      <c r="I14" s="49">
        <f t="shared" si="4"/>
        <v>26753.31215729428</v>
      </c>
      <c r="J14" s="49">
        <f t="shared" si="4"/>
        <v>29444.983303951758</v>
      </c>
      <c r="K14" s="49">
        <f t="shared" si="4"/>
        <v>32409.723187834887</v>
      </c>
      <c r="M14" s="2" t="s">
        <v>10</v>
      </c>
    </row>
    <row r="15" spans="1:13" x14ac:dyDescent="0.2">
      <c r="A15" s="4" t="s">
        <v>11</v>
      </c>
      <c r="B15" s="49"/>
      <c r="C15" s="49">
        <f>C45</f>
        <v>625</v>
      </c>
      <c r="D15" s="49">
        <f t="shared" ref="D15:K15" si="5">D45</f>
        <v>688.14741471492107</v>
      </c>
      <c r="E15" s="49">
        <f t="shared" si="5"/>
        <v>757.6594294277503</v>
      </c>
      <c r="F15" s="49">
        <f t="shared" si="5"/>
        <v>833.47116398652258</v>
      </c>
      <c r="G15" s="49">
        <f t="shared" si="5"/>
        <v>917.01712305054184</v>
      </c>
      <c r="H15" s="49">
        <f t="shared" si="5"/>
        <v>1009.074248806258</v>
      </c>
      <c r="I15" s="49">
        <f t="shared" si="5"/>
        <v>1110.4954562440216</v>
      </c>
      <c r="J15" s="49">
        <f t="shared" si="5"/>
        <v>1222.2191504078312</v>
      </c>
      <c r="K15" s="49">
        <f t="shared" si="5"/>
        <v>1345.2776935297088</v>
      </c>
      <c r="M15" s="2" t="s">
        <v>137</v>
      </c>
    </row>
    <row r="16" spans="1:13" x14ac:dyDescent="0.2">
      <c r="A16" s="6" t="s">
        <v>12</v>
      </c>
      <c r="B16" s="74"/>
      <c r="C16" s="74">
        <f>C12-C17</f>
        <v>15000</v>
      </c>
      <c r="D16" s="74">
        <f t="shared" ref="D16:K16" si="6">D12-D17</f>
        <v>16515.537953158106</v>
      </c>
      <c r="E16" s="74">
        <f t="shared" si="6"/>
        <v>18183.826306266008</v>
      </c>
      <c r="F16" s="74">
        <f t="shared" si="6"/>
        <v>20003.307935676541</v>
      </c>
      <c r="G16" s="74">
        <f t="shared" si="6"/>
        <v>22008.410953213002</v>
      </c>
      <c r="H16" s="74">
        <f t="shared" si="6"/>
        <v>24217.781971350192</v>
      </c>
      <c r="I16" s="74">
        <f t="shared" si="6"/>
        <v>26651.890949856515</v>
      </c>
      <c r="J16" s="74">
        <f t="shared" si="6"/>
        <v>29333.259609787947</v>
      </c>
      <c r="K16" s="74">
        <f t="shared" si="6"/>
        <v>32286.664644713012</v>
      </c>
    </row>
    <row r="17" spans="1:13" x14ac:dyDescent="0.2">
      <c r="A17" s="8" t="s">
        <v>13</v>
      </c>
      <c r="B17" s="75"/>
      <c r="C17" s="75">
        <f>C10*C4</f>
        <v>10000</v>
      </c>
      <c r="D17" s="75">
        <f t="shared" ref="D17:K17" si="7">D10*D4</f>
        <v>11000.000000000002</v>
      </c>
      <c r="E17" s="75">
        <f t="shared" si="7"/>
        <v>12100.000000000004</v>
      </c>
      <c r="F17" s="75">
        <f t="shared" si="7"/>
        <v>13310.000000000004</v>
      </c>
      <c r="G17" s="75">
        <f t="shared" si="7"/>
        <v>14641.000000000007</v>
      </c>
      <c r="H17" s="75">
        <f t="shared" si="7"/>
        <v>16105.100000000009</v>
      </c>
      <c r="I17" s="75">
        <f t="shared" si="7"/>
        <v>17715.610000000011</v>
      </c>
      <c r="J17" s="75">
        <f t="shared" si="7"/>
        <v>19487.171000000013</v>
      </c>
      <c r="K17" s="75">
        <f t="shared" si="7"/>
        <v>21435.888100000018</v>
      </c>
      <c r="M17" s="2" t="s">
        <v>155</v>
      </c>
    </row>
    <row r="18" spans="1:13" x14ac:dyDescent="0.2">
      <c r="A18" s="4" t="s">
        <v>14</v>
      </c>
      <c r="B18" s="49"/>
      <c r="C18" s="49">
        <v>2000</v>
      </c>
      <c r="D18" s="49">
        <f t="shared" ref="D18:K19" si="8">C18*(1+D5)</f>
        <v>2100</v>
      </c>
      <c r="E18" s="49">
        <f t="shared" si="8"/>
        <v>2205</v>
      </c>
      <c r="F18" s="49">
        <f t="shared" si="8"/>
        <v>2315.25</v>
      </c>
      <c r="G18" s="49">
        <f t="shared" si="8"/>
        <v>2431.0125000000003</v>
      </c>
      <c r="H18" s="49">
        <f t="shared" si="8"/>
        <v>2552.5631250000006</v>
      </c>
      <c r="I18" s="49">
        <f t="shared" si="8"/>
        <v>2680.1912812500009</v>
      </c>
      <c r="J18" s="49">
        <f t="shared" si="8"/>
        <v>2814.2008453125009</v>
      </c>
      <c r="K18" s="49">
        <f t="shared" si="8"/>
        <v>2954.9108875781262</v>
      </c>
      <c r="M18" s="2" t="s">
        <v>156</v>
      </c>
    </row>
    <row r="19" spans="1:13" x14ac:dyDescent="0.2">
      <c r="A19" s="10" t="s">
        <v>15</v>
      </c>
      <c r="B19" s="74"/>
      <c r="C19" s="74">
        <v>1000</v>
      </c>
      <c r="D19" s="74">
        <f t="shared" si="8"/>
        <v>1080</v>
      </c>
      <c r="E19" s="74">
        <f t="shared" si="8"/>
        <v>1166.4000000000001</v>
      </c>
      <c r="F19" s="74">
        <f t="shared" si="8"/>
        <v>1259.7120000000002</v>
      </c>
      <c r="G19" s="74">
        <f t="shared" si="8"/>
        <v>1360.4889600000004</v>
      </c>
      <c r="H19" s="74">
        <f t="shared" si="8"/>
        <v>1469.3280768000004</v>
      </c>
      <c r="I19" s="74">
        <f t="shared" si="8"/>
        <v>1586.8743229440006</v>
      </c>
      <c r="J19" s="74">
        <f t="shared" si="8"/>
        <v>1713.8242687795207</v>
      </c>
      <c r="K19" s="74">
        <f t="shared" si="8"/>
        <v>1850.9302102818824</v>
      </c>
      <c r="M19" s="2" t="s">
        <v>157</v>
      </c>
    </row>
    <row r="20" spans="1:13" x14ac:dyDescent="0.2">
      <c r="A20" s="8" t="s">
        <v>16</v>
      </c>
      <c r="B20" s="49"/>
      <c r="C20" s="49">
        <f t="shared" ref="C20:K20" si="9">C17-C18-C19</f>
        <v>7000</v>
      </c>
      <c r="D20" s="49">
        <f t="shared" si="9"/>
        <v>7820.0000000000018</v>
      </c>
      <c r="E20" s="49">
        <f t="shared" si="9"/>
        <v>8728.600000000004</v>
      </c>
      <c r="F20" s="49">
        <f t="shared" si="9"/>
        <v>9735.0380000000041</v>
      </c>
      <c r="G20" s="49">
        <f t="shared" si="9"/>
        <v>10849.498540000006</v>
      </c>
      <c r="H20" s="49">
        <f t="shared" si="9"/>
        <v>12083.208798200008</v>
      </c>
      <c r="I20" s="49">
        <f t="shared" si="9"/>
        <v>13448.54439580601</v>
      </c>
      <c r="J20" s="49">
        <f t="shared" si="9"/>
        <v>14959.14588590799</v>
      </c>
      <c r="K20" s="49">
        <f t="shared" si="9"/>
        <v>16630.047002140007</v>
      </c>
    </row>
    <row r="21" spans="1:13" x14ac:dyDescent="0.2">
      <c r="A21" s="10" t="s">
        <v>17</v>
      </c>
      <c r="B21" s="52"/>
      <c r="C21" s="52">
        <f>B49*5%</f>
        <v>2500</v>
      </c>
      <c r="D21" s="52">
        <f t="shared" ref="D21:K21" si="10">C49*5%</f>
        <v>2500</v>
      </c>
      <c r="E21" s="52">
        <f t="shared" si="10"/>
        <v>2500</v>
      </c>
      <c r="F21" s="52">
        <f t="shared" si="10"/>
        <v>2500</v>
      </c>
      <c r="G21" s="52">
        <f t="shared" si="10"/>
        <v>2500</v>
      </c>
      <c r="H21" s="52">
        <f t="shared" si="10"/>
        <v>2500</v>
      </c>
      <c r="I21" s="52">
        <f t="shared" si="10"/>
        <v>2500</v>
      </c>
      <c r="J21" s="52">
        <f t="shared" si="10"/>
        <v>2500</v>
      </c>
      <c r="K21" s="52">
        <f t="shared" si="10"/>
        <v>2500</v>
      </c>
      <c r="M21" s="2" t="s">
        <v>158</v>
      </c>
    </row>
    <row r="22" spans="1:13" x14ac:dyDescent="0.2">
      <c r="A22" s="8" t="s">
        <v>18</v>
      </c>
      <c r="B22" s="73"/>
      <c r="C22" s="73">
        <f t="shared" ref="C22:K22" si="11">C20-C21</f>
        <v>4500</v>
      </c>
      <c r="D22" s="73">
        <f t="shared" si="11"/>
        <v>5320.0000000000018</v>
      </c>
      <c r="E22" s="73">
        <f t="shared" si="11"/>
        <v>6228.600000000004</v>
      </c>
      <c r="F22" s="73">
        <f t="shared" si="11"/>
        <v>7235.0380000000041</v>
      </c>
      <c r="G22" s="73">
        <f t="shared" si="11"/>
        <v>8349.498540000006</v>
      </c>
      <c r="H22" s="73">
        <f t="shared" si="11"/>
        <v>9583.2087982000085</v>
      </c>
      <c r="I22" s="73">
        <f t="shared" si="11"/>
        <v>10948.54439580601</v>
      </c>
      <c r="J22" s="73">
        <f t="shared" si="11"/>
        <v>12459.14588590799</v>
      </c>
      <c r="K22" s="73">
        <f t="shared" si="11"/>
        <v>14130.047002140007</v>
      </c>
    </row>
    <row r="23" spans="1:13" x14ac:dyDescent="0.2">
      <c r="A23" s="10" t="s">
        <v>19</v>
      </c>
      <c r="B23" s="85"/>
      <c r="C23" s="85">
        <f>B59*10%</f>
        <v>2000</v>
      </c>
      <c r="D23" s="85">
        <f t="shared" ref="D23:K23" si="12">C59*10%</f>
        <v>1874.509210234977</v>
      </c>
      <c r="E23" s="85">
        <f t="shared" si="12"/>
        <v>1736.4693414934516</v>
      </c>
      <c r="F23" s="85">
        <f t="shared" si="12"/>
        <v>1584.6254858777734</v>
      </c>
      <c r="G23" s="85">
        <f t="shared" si="12"/>
        <v>1417.5972447005274</v>
      </c>
      <c r="H23" s="85">
        <f t="shared" si="12"/>
        <v>1233.866179405557</v>
      </c>
      <c r="I23" s="85">
        <f t="shared" si="12"/>
        <v>1031.7620075810894</v>
      </c>
      <c r="J23" s="85">
        <f t="shared" si="12"/>
        <v>809.44741857417512</v>
      </c>
      <c r="K23" s="85">
        <f t="shared" si="12"/>
        <v>564.90137066656939</v>
      </c>
      <c r="M23" s="2" t="s">
        <v>159</v>
      </c>
    </row>
    <row r="24" spans="1:13" x14ac:dyDescent="0.2">
      <c r="A24" s="8" t="s">
        <v>20</v>
      </c>
      <c r="B24" s="73"/>
      <c r="C24" s="73">
        <f t="shared" ref="C24:K24" si="13">C22-C23</f>
        <v>2500</v>
      </c>
      <c r="D24" s="73">
        <f t="shared" si="13"/>
        <v>3445.4907897650246</v>
      </c>
      <c r="E24" s="73">
        <f t="shared" si="13"/>
        <v>4492.1306585065522</v>
      </c>
      <c r="F24" s="73">
        <f t="shared" si="13"/>
        <v>5650.4125141222303</v>
      </c>
      <c r="G24" s="73">
        <f t="shared" si="13"/>
        <v>6931.9012952994781</v>
      </c>
      <c r="H24" s="73">
        <f t="shared" si="13"/>
        <v>8349.3426187944515</v>
      </c>
      <c r="I24" s="73">
        <f t="shared" si="13"/>
        <v>9916.7823882249195</v>
      </c>
      <c r="J24" s="73">
        <f t="shared" si="13"/>
        <v>11649.698467333816</v>
      </c>
      <c r="K24" s="73">
        <f t="shared" si="13"/>
        <v>13565.145631473437</v>
      </c>
    </row>
    <row r="25" spans="1:13" x14ac:dyDescent="0.2">
      <c r="A25" s="10" t="s">
        <v>21</v>
      </c>
      <c r="B25" s="86"/>
      <c r="C25" s="86">
        <f>C24*36.25%</f>
        <v>906.25</v>
      </c>
      <c r="D25" s="86">
        <f t="shared" ref="D25:K25" si="14">D24*36.25%</f>
        <v>1248.9904112898214</v>
      </c>
      <c r="E25" s="86">
        <f t="shared" si="14"/>
        <v>1628.3973637086251</v>
      </c>
      <c r="F25" s="86">
        <f t="shared" si="14"/>
        <v>2048.2745363693084</v>
      </c>
      <c r="G25" s="86">
        <f t="shared" si="14"/>
        <v>2512.8142195460609</v>
      </c>
      <c r="H25" s="86">
        <f t="shared" si="14"/>
        <v>3026.6366993129886</v>
      </c>
      <c r="I25" s="86">
        <f t="shared" si="14"/>
        <v>3594.8336157315334</v>
      </c>
      <c r="J25" s="86">
        <f t="shared" si="14"/>
        <v>4223.0156944085084</v>
      </c>
      <c r="K25" s="86">
        <f t="shared" si="14"/>
        <v>4917.3652914091208</v>
      </c>
      <c r="M25" s="2" t="s">
        <v>22</v>
      </c>
    </row>
    <row r="26" spans="1:13" x14ac:dyDescent="0.2">
      <c r="A26" s="12" t="s">
        <v>23</v>
      </c>
      <c r="B26" s="73"/>
      <c r="C26" s="73">
        <f t="shared" ref="C26:K26" si="15">C24-C25</f>
        <v>1593.75</v>
      </c>
      <c r="D26" s="73">
        <f t="shared" si="15"/>
        <v>2196.5003784752034</v>
      </c>
      <c r="E26" s="73">
        <f t="shared" si="15"/>
        <v>2863.7332947979271</v>
      </c>
      <c r="F26" s="73">
        <f t="shared" si="15"/>
        <v>3602.1379777529219</v>
      </c>
      <c r="G26" s="73">
        <f t="shared" si="15"/>
        <v>4419.0870757534176</v>
      </c>
      <c r="H26" s="73">
        <f t="shared" si="15"/>
        <v>5322.7059194814628</v>
      </c>
      <c r="I26" s="73">
        <f t="shared" si="15"/>
        <v>6321.9487724933861</v>
      </c>
      <c r="J26" s="73">
        <f t="shared" si="15"/>
        <v>7426.6827729253073</v>
      </c>
      <c r="K26" s="73">
        <f t="shared" si="15"/>
        <v>8647.780340064317</v>
      </c>
    </row>
    <row r="27" spans="1:13" x14ac:dyDescent="0.2">
      <c r="A27" s="10" t="s">
        <v>24</v>
      </c>
      <c r="B27" s="87"/>
      <c r="C27" s="85"/>
      <c r="D27" s="85">
        <f t="shared" ref="D27:K27" si="16">D26*60%</f>
        <v>1317.900227085122</v>
      </c>
      <c r="E27" s="85">
        <f t="shared" si="16"/>
        <v>1718.2399768787561</v>
      </c>
      <c r="F27" s="85">
        <f t="shared" si="16"/>
        <v>2161.2827866517532</v>
      </c>
      <c r="G27" s="85">
        <f t="shared" si="16"/>
        <v>2651.4522454520506</v>
      </c>
      <c r="H27" s="85">
        <f t="shared" si="16"/>
        <v>3193.6235516888778</v>
      </c>
      <c r="I27" s="85">
        <f t="shared" si="16"/>
        <v>3793.1692634960314</v>
      </c>
      <c r="J27" s="85">
        <f t="shared" si="16"/>
        <v>4456.0096637551842</v>
      </c>
      <c r="K27" s="85">
        <f t="shared" si="16"/>
        <v>5188.6682040385904</v>
      </c>
      <c r="M27" s="2" t="s">
        <v>146</v>
      </c>
    </row>
    <row r="28" spans="1:13" x14ac:dyDescent="0.2">
      <c r="A28" s="6" t="s">
        <v>25</v>
      </c>
      <c r="B28" s="84"/>
      <c r="C28" s="84">
        <f t="shared" ref="C28:K28" si="17">C26-C27</f>
        <v>1593.75</v>
      </c>
      <c r="D28" s="84">
        <f t="shared" si="17"/>
        <v>878.60015139008146</v>
      </c>
      <c r="E28" s="84">
        <f t="shared" si="17"/>
        <v>1145.493317919171</v>
      </c>
      <c r="F28" s="84">
        <f t="shared" si="17"/>
        <v>1440.8551911011687</v>
      </c>
      <c r="G28" s="84">
        <f t="shared" si="17"/>
        <v>1767.6348303013669</v>
      </c>
      <c r="H28" s="84">
        <f t="shared" si="17"/>
        <v>2129.082367792585</v>
      </c>
      <c r="I28" s="84">
        <f t="shared" si="17"/>
        <v>2528.7795089973547</v>
      </c>
      <c r="J28" s="84">
        <f t="shared" si="17"/>
        <v>2970.6731091701231</v>
      </c>
      <c r="K28" s="84">
        <f t="shared" si="17"/>
        <v>3459.1121360257266</v>
      </c>
    </row>
    <row r="29" spans="1:13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3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</row>
    <row r="31" spans="1:13" x14ac:dyDescent="0.2">
      <c r="A31" s="1" t="s">
        <v>26</v>
      </c>
      <c r="B31" s="15"/>
      <c r="C31" s="14"/>
      <c r="D31" s="14"/>
      <c r="E31" s="14"/>
      <c r="F31" s="14"/>
      <c r="G31" s="14"/>
      <c r="H31" s="14"/>
      <c r="I31" s="14"/>
      <c r="J31" s="14"/>
      <c r="K31" s="14"/>
    </row>
    <row r="32" spans="1:13" x14ac:dyDescent="0.2">
      <c r="A32" s="2" t="s">
        <v>27</v>
      </c>
      <c r="B32" s="72"/>
      <c r="C32" s="72">
        <v>30</v>
      </c>
      <c r="D32" s="72">
        <v>30</v>
      </c>
      <c r="E32" s="72">
        <v>30</v>
      </c>
      <c r="F32" s="72">
        <v>30</v>
      </c>
      <c r="G32" s="72">
        <v>30</v>
      </c>
      <c r="H32" s="72">
        <v>30</v>
      </c>
      <c r="I32" s="72">
        <v>30</v>
      </c>
      <c r="J32" s="72">
        <v>30</v>
      </c>
      <c r="K32" s="72">
        <v>30</v>
      </c>
    </row>
    <row r="33" spans="1:13" x14ac:dyDescent="0.2">
      <c r="A33" s="2" t="s">
        <v>28</v>
      </c>
      <c r="B33" s="72"/>
      <c r="C33" s="72">
        <v>15</v>
      </c>
      <c r="D33" s="72">
        <v>15</v>
      </c>
      <c r="E33" s="72">
        <v>15</v>
      </c>
      <c r="F33" s="72">
        <v>15</v>
      </c>
      <c r="G33" s="72">
        <v>15</v>
      </c>
      <c r="H33" s="72">
        <v>15</v>
      </c>
      <c r="I33" s="72">
        <v>15</v>
      </c>
      <c r="J33" s="72">
        <v>15</v>
      </c>
      <c r="K33" s="72">
        <v>15</v>
      </c>
    </row>
    <row r="34" spans="1:13" x14ac:dyDescent="0.2">
      <c r="A34" s="2" t="s">
        <v>29</v>
      </c>
      <c r="B34" s="72"/>
      <c r="C34" s="72">
        <v>50</v>
      </c>
      <c r="D34" s="72">
        <v>50</v>
      </c>
      <c r="E34" s="72">
        <v>50</v>
      </c>
      <c r="F34" s="72">
        <v>50</v>
      </c>
      <c r="G34" s="72">
        <v>50</v>
      </c>
      <c r="H34" s="72">
        <v>50</v>
      </c>
      <c r="I34" s="72">
        <v>50</v>
      </c>
      <c r="J34" s="72">
        <v>50</v>
      </c>
      <c r="K34" s="72">
        <v>50</v>
      </c>
    </row>
    <row r="35" spans="1:13" x14ac:dyDescent="0.2">
      <c r="A35" s="2" t="s">
        <v>30</v>
      </c>
      <c r="B35" s="72"/>
      <c r="C35" s="72">
        <f t="shared" ref="C35:K35" si="18">C32+C33-C34</f>
        <v>-5</v>
      </c>
      <c r="D35" s="72">
        <f t="shared" si="18"/>
        <v>-5</v>
      </c>
      <c r="E35" s="72">
        <f t="shared" si="18"/>
        <v>-5</v>
      </c>
      <c r="F35" s="72">
        <f t="shared" si="18"/>
        <v>-5</v>
      </c>
      <c r="G35" s="72">
        <f t="shared" si="18"/>
        <v>-5</v>
      </c>
      <c r="H35" s="72">
        <f t="shared" si="18"/>
        <v>-5</v>
      </c>
      <c r="I35" s="72">
        <f t="shared" si="18"/>
        <v>-5</v>
      </c>
      <c r="J35" s="72">
        <f t="shared" si="18"/>
        <v>-5</v>
      </c>
      <c r="K35" s="72">
        <f t="shared" si="18"/>
        <v>-5</v>
      </c>
    </row>
    <row r="36" spans="1:13" x14ac:dyDescent="0.2">
      <c r="A36" s="2" t="s">
        <v>138</v>
      </c>
      <c r="B36" s="76"/>
      <c r="C36" s="76">
        <v>0.1</v>
      </c>
      <c r="D36" s="76">
        <v>0.1</v>
      </c>
      <c r="E36" s="76">
        <v>0.1</v>
      </c>
      <c r="F36" s="76">
        <v>0.1</v>
      </c>
      <c r="G36" s="76">
        <v>0.1</v>
      </c>
      <c r="H36" s="76">
        <v>0.1</v>
      </c>
      <c r="I36" s="76">
        <v>0.1</v>
      </c>
      <c r="J36" s="76">
        <v>0.1</v>
      </c>
      <c r="K36" s="76">
        <v>0.1</v>
      </c>
    </row>
    <row r="37" spans="1:13" x14ac:dyDescent="0.2">
      <c r="A37" s="2" t="s">
        <v>139</v>
      </c>
      <c r="B37" s="76"/>
      <c r="C37" s="76">
        <v>0.12</v>
      </c>
      <c r="D37" s="76">
        <v>0.12</v>
      </c>
      <c r="E37" s="76">
        <v>0.12</v>
      </c>
      <c r="F37" s="76">
        <v>0.12</v>
      </c>
      <c r="G37" s="76">
        <v>0.12</v>
      </c>
      <c r="H37" s="76">
        <v>0.12</v>
      </c>
      <c r="I37" s="76">
        <v>0.12</v>
      </c>
      <c r="J37" s="76">
        <v>0.12</v>
      </c>
      <c r="K37" s="76">
        <v>0.12</v>
      </c>
    </row>
    <row r="39" spans="1:13" x14ac:dyDescent="0.2">
      <c r="A39" s="240" t="s">
        <v>31</v>
      </c>
      <c r="B39" s="234" t="s">
        <v>4</v>
      </c>
      <c r="C39" s="235"/>
      <c r="D39" s="235"/>
      <c r="E39" s="235"/>
      <c r="F39" s="235"/>
      <c r="G39" s="235"/>
      <c r="H39" s="235"/>
      <c r="I39" s="235"/>
      <c r="J39" s="235"/>
      <c r="K39" s="236"/>
    </row>
    <row r="40" spans="1:13" x14ac:dyDescent="0.2">
      <c r="A40" s="241"/>
      <c r="B40" s="3">
        <v>2010</v>
      </c>
      <c r="C40" s="3">
        <v>2011</v>
      </c>
      <c r="D40" s="3">
        <v>2012</v>
      </c>
      <c r="E40" s="3">
        <v>2013</v>
      </c>
      <c r="F40" s="3">
        <v>2014</v>
      </c>
      <c r="G40" s="3">
        <v>2015</v>
      </c>
      <c r="H40" s="3">
        <v>2016</v>
      </c>
      <c r="I40" s="3">
        <v>2017</v>
      </c>
      <c r="J40" s="3">
        <v>2018</v>
      </c>
      <c r="K40" s="3">
        <v>2019</v>
      </c>
    </row>
    <row r="41" spans="1:13" x14ac:dyDescent="0.2">
      <c r="A41" s="17" t="s">
        <v>32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3" x14ac:dyDescent="0.2">
      <c r="A42" s="20" t="s">
        <v>33</v>
      </c>
      <c r="B42" s="52">
        <f>MAX(B12*5%,1000)</f>
        <v>1000</v>
      </c>
      <c r="C42" s="52">
        <f>MAX(C10*5%,1000)</f>
        <v>1250</v>
      </c>
      <c r="D42" s="52">
        <f t="shared" ref="D42:K42" si="19">MAX(D10*5%,1000)</f>
        <v>1375.0000000000002</v>
      </c>
      <c r="E42" s="52">
        <f t="shared" si="19"/>
        <v>1512.5000000000005</v>
      </c>
      <c r="F42" s="52">
        <f t="shared" si="19"/>
        <v>1663.7500000000005</v>
      </c>
      <c r="G42" s="52">
        <f t="shared" si="19"/>
        <v>1830.1250000000009</v>
      </c>
      <c r="H42" s="52">
        <f t="shared" si="19"/>
        <v>2013.1375000000012</v>
      </c>
      <c r="I42" s="52">
        <f t="shared" si="19"/>
        <v>2214.4512500000014</v>
      </c>
      <c r="J42" s="52">
        <f t="shared" si="19"/>
        <v>2435.8963750000016</v>
      </c>
      <c r="K42" s="52">
        <f t="shared" si="19"/>
        <v>2679.4860125000023</v>
      </c>
      <c r="M42" s="2" t="s">
        <v>145</v>
      </c>
    </row>
    <row r="43" spans="1:13" x14ac:dyDescent="0.2">
      <c r="A43" s="20" t="s">
        <v>34</v>
      </c>
      <c r="B43" s="49">
        <f>B140</f>
        <v>0</v>
      </c>
      <c r="C43" s="49">
        <f t="shared" ref="C43:K43" si="20">C140</f>
        <v>776.89765790532419</v>
      </c>
      <c r="D43" s="49">
        <f t="shared" si="20"/>
        <v>1691.3153133003107</v>
      </c>
      <c r="E43" s="49">
        <f t="shared" si="20"/>
        <v>1915.3967838270073</v>
      </c>
      <c r="F43" s="49">
        <f t="shared" si="20"/>
        <v>2345.547660649584</v>
      </c>
      <c r="G43" s="49">
        <f t="shared" si="20"/>
        <v>3006.5985675089587</v>
      </c>
      <c r="H43" s="49">
        <f t="shared" si="20"/>
        <v>3923.7974928249141</v>
      </c>
      <c r="I43" s="49">
        <f t="shared" si="20"/>
        <v>5125.155489396172</v>
      </c>
      <c r="J43" s="49">
        <f t="shared" si="20"/>
        <v>6641.6247356492704</v>
      </c>
      <c r="K43" s="49">
        <f t="shared" si="20"/>
        <v>8507.4007177107596</v>
      </c>
    </row>
    <row r="44" spans="1:13" x14ac:dyDescent="0.2">
      <c r="A44" s="20" t="s">
        <v>35</v>
      </c>
      <c r="B44" s="53"/>
      <c r="C44" s="53">
        <f t="shared" ref="C44:K44" si="21">C10*C32/360</f>
        <v>2083.3333333333335</v>
      </c>
      <c r="D44" s="53">
        <f t="shared" si="21"/>
        <v>2291.666666666667</v>
      </c>
      <c r="E44" s="53">
        <f t="shared" si="21"/>
        <v>2520.8333333333339</v>
      </c>
      <c r="F44" s="53">
        <f t="shared" si="21"/>
        <v>2772.9166666666674</v>
      </c>
      <c r="G44" s="53">
        <f t="shared" si="21"/>
        <v>3050.2083333333348</v>
      </c>
      <c r="H44" s="53">
        <f t="shared" si="21"/>
        <v>3355.2291666666688</v>
      </c>
      <c r="I44" s="53">
        <f t="shared" si="21"/>
        <v>3690.752083333336</v>
      </c>
      <c r="J44" s="53">
        <f t="shared" si="21"/>
        <v>4059.8272916666697</v>
      </c>
      <c r="K44" s="53">
        <f t="shared" si="21"/>
        <v>4465.8100208333371</v>
      </c>
    </row>
    <row r="45" spans="1:13" x14ac:dyDescent="0.2">
      <c r="A45" s="20" t="s">
        <v>36</v>
      </c>
      <c r="B45" s="53"/>
      <c r="C45" s="53">
        <f>C16*C33/360</f>
        <v>625</v>
      </c>
      <c r="D45" s="53">
        <f t="shared" ref="D45:K45" si="22">D16*D33/360</f>
        <v>688.14741471492107</v>
      </c>
      <c r="E45" s="53">
        <f t="shared" si="22"/>
        <v>757.6594294277503</v>
      </c>
      <c r="F45" s="53">
        <f t="shared" si="22"/>
        <v>833.47116398652258</v>
      </c>
      <c r="G45" s="53">
        <f t="shared" si="22"/>
        <v>917.01712305054184</v>
      </c>
      <c r="H45" s="53">
        <f t="shared" si="22"/>
        <v>1009.074248806258</v>
      </c>
      <c r="I45" s="53">
        <f t="shared" si="22"/>
        <v>1110.4954562440216</v>
      </c>
      <c r="J45" s="53">
        <f t="shared" si="22"/>
        <v>1222.2191504078312</v>
      </c>
      <c r="K45" s="53">
        <f t="shared" si="22"/>
        <v>1345.2776935297088</v>
      </c>
    </row>
    <row r="46" spans="1:13" x14ac:dyDescent="0.2">
      <c r="A46" s="21" t="s">
        <v>37</v>
      </c>
      <c r="B46" s="54">
        <f>SUM(B42:B45)</f>
        <v>1000</v>
      </c>
      <c r="C46" s="54">
        <f t="shared" ref="C46:K46" si="23">SUM(C42:C45)</f>
        <v>4735.2309912386572</v>
      </c>
      <c r="D46" s="54">
        <f t="shared" si="23"/>
        <v>6046.1293946818987</v>
      </c>
      <c r="E46" s="54">
        <f t="shared" si="23"/>
        <v>6706.3895465880914</v>
      </c>
      <c r="F46" s="54">
        <f t="shared" si="23"/>
        <v>7615.6854913027746</v>
      </c>
      <c r="G46" s="54">
        <f t="shared" si="23"/>
        <v>8803.9490238928356</v>
      </c>
      <c r="H46" s="54">
        <f t="shared" si="23"/>
        <v>10301.238408297844</v>
      </c>
      <c r="I46" s="54">
        <f t="shared" si="23"/>
        <v>12140.854278973531</v>
      </c>
      <c r="J46" s="54">
        <f t="shared" si="23"/>
        <v>14359.567552723773</v>
      </c>
      <c r="K46" s="54">
        <f t="shared" si="23"/>
        <v>16997.974444573807</v>
      </c>
    </row>
    <row r="47" spans="1:13" x14ac:dyDescent="0.2">
      <c r="A47" s="20" t="s">
        <v>38</v>
      </c>
      <c r="B47" s="75">
        <f>B122</f>
        <v>50000</v>
      </c>
      <c r="C47" s="75">
        <f t="shared" ref="C47:K47" si="24">B47+C122-C121</f>
        <v>52500</v>
      </c>
      <c r="D47" s="75">
        <f t="shared" si="24"/>
        <v>55000</v>
      </c>
      <c r="E47" s="75">
        <f t="shared" si="24"/>
        <v>57500</v>
      </c>
      <c r="F47" s="75">
        <f t="shared" si="24"/>
        <v>60000</v>
      </c>
      <c r="G47" s="75">
        <f t="shared" si="24"/>
        <v>62500</v>
      </c>
      <c r="H47" s="75">
        <f t="shared" si="24"/>
        <v>65000</v>
      </c>
      <c r="I47" s="75">
        <f t="shared" si="24"/>
        <v>67500</v>
      </c>
      <c r="J47" s="75">
        <f t="shared" si="24"/>
        <v>70000</v>
      </c>
      <c r="K47" s="75">
        <f t="shared" si="24"/>
        <v>72500</v>
      </c>
      <c r="M47" s="2" t="s">
        <v>154</v>
      </c>
    </row>
    <row r="48" spans="1:13" x14ac:dyDescent="0.2">
      <c r="A48" s="20" t="s">
        <v>40</v>
      </c>
      <c r="B48" s="49"/>
      <c r="C48" s="49">
        <f>B48-C21</f>
        <v>-2500</v>
      </c>
      <c r="D48" s="49">
        <f t="shared" ref="D48:K48" si="25">C48-D21</f>
        <v>-5000</v>
      </c>
      <c r="E48" s="49">
        <f t="shared" si="25"/>
        <v>-7500</v>
      </c>
      <c r="F48" s="49">
        <f t="shared" si="25"/>
        <v>-10000</v>
      </c>
      <c r="G48" s="49">
        <f t="shared" si="25"/>
        <v>-12500</v>
      </c>
      <c r="H48" s="49">
        <f t="shared" si="25"/>
        <v>-15000</v>
      </c>
      <c r="I48" s="49">
        <f t="shared" si="25"/>
        <v>-17500</v>
      </c>
      <c r="J48" s="49">
        <f t="shared" si="25"/>
        <v>-20000</v>
      </c>
      <c r="K48" s="49">
        <f t="shared" si="25"/>
        <v>-22500</v>
      </c>
    </row>
    <row r="49" spans="1:13" x14ac:dyDescent="0.2">
      <c r="A49" s="21" t="s">
        <v>41</v>
      </c>
      <c r="B49" s="54">
        <f>SUM(B47:B48)</f>
        <v>50000</v>
      </c>
      <c r="C49" s="54">
        <f t="shared" ref="C49:K49" si="26">SUM(C47:C48)</f>
        <v>50000</v>
      </c>
      <c r="D49" s="54">
        <f t="shared" si="26"/>
        <v>50000</v>
      </c>
      <c r="E49" s="54">
        <f t="shared" si="26"/>
        <v>50000</v>
      </c>
      <c r="F49" s="54">
        <f t="shared" si="26"/>
        <v>50000</v>
      </c>
      <c r="G49" s="54">
        <f t="shared" si="26"/>
        <v>50000</v>
      </c>
      <c r="H49" s="54">
        <f t="shared" si="26"/>
        <v>50000</v>
      </c>
      <c r="I49" s="54">
        <f t="shared" si="26"/>
        <v>50000</v>
      </c>
      <c r="J49" s="54">
        <f t="shared" si="26"/>
        <v>50000</v>
      </c>
      <c r="K49" s="54">
        <f t="shared" si="26"/>
        <v>50000</v>
      </c>
    </row>
    <row r="50" spans="1:13" x14ac:dyDescent="0.2">
      <c r="A50" s="21" t="s">
        <v>42</v>
      </c>
      <c r="B50" s="55">
        <f>B46+B49</f>
        <v>51000</v>
      </c>
      <c r="C50" s="55">
        <f t="shared" ref="C50:K50" si="27">C46+C49</f>
        <v>54735.230991238655</v>
      </c>
      <c r="D50" s="55">
        <f t="shared" si="27"/>
        <v>56046.129394681899</v>
      </c>
      <c r="E50" s="55">
        <f t="shared" si="27"/>
        <v>56706.389546588092</v>
      </c>
      <c r="F50" s="55">
        <f t="shared" si="27"/>
        <v>57615.685491302778</v>
      </c>
      <c r="G50" s="55">
        <f t="shared" si="27"/>
        <v>58803.949023892834</v>
      </c>
      <c r="H50" s="55">
        <f t="shared" si="27"/>
        <v>60301.238408297846</v>
      </c>
      <c r="I50" s="55">
        <f t="shared" si="27"/>
        <v>62140.854278973529</v>
      </c>
      <c r="J50" s="55">
        <f t="shared" si="27"/>
        <v>64359.567552723776</v>
      </c>
      <c r="K50" s="55">
        <f t="shared" si="27"/>
        <v>66997.974444573803</v>
      </c>
    </row>
    <row r="51" spans="1:13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3" x14ac:dyDescent="0.2">
      <c r="A52" s="17" t="s">
        <v>43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3" x14ac:dyDescent="0.2">
      <c r="A53" s="20" t="s">
        <v>44</v>
      </c>
      <c r="B53" s="53"/>
      <c r="C53" s="53">
        <f>C14*C34/360</f>
        <v>2170.1388888888887</v>
      </c>
      <c r="D53" s="53">
        <f t="shared" ref="D53:K53" si="28">D14*D34/360</f>
        <v>2302.5951899823649</v>
      </c>
      <c r="E53" s="53">
        <f t="shared" si="28"/>
        <v>2535.1858779137274</v>
      </c>
      <c r="F53" s="53">
        <f t="shared" si="28"/>
        <v>2788.7666208660157</v>
      </c>
      <c r="G53" s="53">
        <f t="shared" si="28"/>
        <v>3068.3273489273638</v>
      </c>
      <c r="H53" s="53">
        <f t="shared" si="28"/>
        <v>3376.3665412647092</v>
      </c>
      <c r="I53" s="53">
        <f t="shared" si="28"/>
        <v>3715.7377996242058</v>
      </c>
      <c r="J53" s="53">
        <f t="shared" si="28"/>
        <v>4089.5810144377438</v>
      </c>
      <c r="K53" s="53">
        <f t="shared" si="28"/>
        <v>4501.3504427548451</v>
      </c>
    </row>
    <row r="54" spans="1:13" x14ac:dyDescent="0.2">
      <c r="A54" s="20" t="s">
        <v>140</v>
      </c>
      <c r="B54" s="53"/>
      <c r="C54" s="53">
        <f>C18*C36</f>
        <v>200</v>
      </c>
      <c r="D54" s="53">
        <f t="shared" ref="D54:K55" si="29">D18*D36</f>
        <v>210</v>
      </c>
      <c r="E54" s="53">
        <f t="shared" si="29"/>
        <v>220.5</v>
      </c>
      <c r="F54" s="53">
        <f t="shared" si="29"/>
        <v>231.52500000000001</v>
      </c>
      <c r="G54" s="53">
        <f t="shared" si="29"/>
        <v>243.10125000000005</v>
      </c>
      <c r="H54" s="53">
        <f t="shared" si="29"/>
        <v>255.25631250000006</v>
      </c>
      <c r="I54" s="53">
        <f t="shared" si="29"/>
        <v>268.01912812500012</v>
      </c>
      <c r="J54" s="53">
        <f t="shared" si="29"/>
        <v>281.4200845312501</v>
      </c>
      <c r="K54" s="53">
        <f t="shared" si="29"/>
        <v>295.49108875781263</v>
      </c>
    </row>
    <row r="55" spans="1:13" x14ac:dyDescent="0.2">
      <c r="A55" s="20" t="s">
        <v>141</v>
      </c>
      <c r="B55" s="53"/>
      <c r="C55" s="53">
        <f>C19*C37</f>
        <v>120</v>
      </c>
      <c r="D55" s="53">
        <f t="shared" si="29"/>
        <v>129.6</v>
      </c>
      <c r="E55" s="53">
        <f t="shared" si="29"/>
        <v>139.96800000000002</v>
      </c>
      <c r="F55" s="53">
        <f t="shared" si="29"/>
        <v>151.16544000000002</v>
      </c>
      <c r="G55" s="53">
        <f t="shared" si="29"/>
        <v>163.25867520000003</v>
      </c>
      <c r="H55" s="53">
        <f t="shared" si="29"/>
        <v>176.31936921600004</v>
      </c>
      <c r="I55" s="53">
        <f t="shared" si="29"/>
        <v>190.42491875328005</v>
      </c>
      <c r="J55" s="53">
        <f t="shared" si="29"/>
        <v>205.65891225354247</v>
      </c>
      <c r="K55" s="53">
        <f t="shared" si="29"/>
        <v>222.11162523382589</v>
      </c>
    </row>
    <row r="56" spans="1:13" x14ac:dyDescent="0.2">
      <c r="A56" s="20" t="s">
        <v>45</v>
      </c>
      <c r="B56" s="53"/>
      <c r="C56" s="53">
        <f>C25</f>
        <v>906.25</v>
      </c>
      <c r="D56" s="53">
        <f t="shared" ref="D56:K56" si="30">D25</f>
        <v>1248.9904112898214</v>
      </c>
      <c r="E56" s="53">
        <f t="shared" si="30"/>
        <v>1628.3973637086251</v>
      </c>
      <c r="F56" s="53">
        <f t="shared" si="30"/>
        <v>2048.2745363693084</v>
      </c>
      <c r="G56" s="53">
        <f t="shared" si="30"/>
        <v>2512.8142195460609</v>
      </c>
      <c r="H56" s="53">
        <f t="shared" si="30"/>
        <v>3026.6366993129886</v>
      </c>
      <c r="I56" s="53">
        <f t="shared" si="30"/>
        <v>3594.8336157315334</v>
      </c>
      <c r="J56" s="53">
        <f t="shared" si="30"/>
        <v>4223.0156944085084</v>
      </c>
      <c r="K56" s="53">
        <f t="shared" si="30"/>
        <v>4917.3652914091208</v>
      </c>
    </row>
    <row r="57" spans="1:13" x14ac:dyDescent="0.2">
      <c r="A57" s="20" t="s">
        <v>46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3" x14ac:dyDescent="0.2">
      <c r="A58" s="21" t="s">
        <v>47</v>
      </c>
      <c r="B58" s="54"/>
      <c r="C58" s="54">
        <f>SUM(C53:C57)</f>
        <v>3396.3888888888887</v>
      </c>
      <c r="D58" s="54">
        <f t="shared" ref="D58:K58" si="31">SUM(D53:D57)</f>
        <v>3891.1856012721864</v>
      </c>
      <c r="E58" s="54">
        <f t="shared" si="31"/>
        <v>4524.0512416223519</v>
      </c>
      <c r="F58" s="54">
        <f t="shared" si="31"/>
        <v>5219.7315972353244</v>
      </c>
      <c r="G58" s="54">
        <f t="shared" si="31"/>
        <v>5987.5014936734251</v>
      </c>
      <c r="H58" s="54">
        <f t="shared" si="31"/>
        <v>6834.5789222936983</v>
      </c>
      <c r="I58" s="54">
        <f t="shared" si="31"/>
        <v>7769.0154622340197</v>
      </c>
      <c r="J58" s="54">
        <f t="shared" si="31"/>
        <v>8799.6757056310453</v>
      </c>
      <c r="K58" s="54">
        <f t="shared" si="31"/>
        <v>9936.3184481556054</v>
      </c>
    </row>
    <row r="59" spans="1:13" x14ac:dyDescent="0.2">
      <c r="A59" s="18" t="s">
        <v>48</v>
      </c>
      <c r="B59" s="88">
        <f>B128</f>
        <v>20000</v>
      </c>
      <c r="C59" s="88">
        <f t="shared" ref="C59:K59" si="32">B59+C128-C129</f>
        <v>18745.092102349769</v>
      </c>
      <c r="D59" s="88">
        <f t="shared" si="32"/>
        <v>17364.693414934514</v>
      </c>
      <c r="E59" s="88">
        <f t="shared" si="32"/>
        <v>15846.254858777733</v>
      </c>
      <c r="F59" s="88">
        <f t="shared" si="32"/>
        <v>14175.972447005273</v>
      </c>
      <c r="G59" s="88">
        <f t="shared" si="32"/>
        <v>12338.661794055568</v>
      </c>
      <c r="H59" s="88">
        <f t="shared" si="32"/>
        <v>10317.620075810893</v>
      </c>
      <c r="I59" s="88">
        <f t="shared" si="32"/>
        <v>8094.4741857417503</v>
      </c>
      <c r="J59" s="88">
        <f t="shared" si="32"/>
        <v>5649.0137066656935</v>
      </c>
      <c r="K59" s="88">
        <f t="shared" si="32"/>
        <v>2959.0071796820303</v>
      </c>
      <c r="M59" s="2" t="s">
        <v>148</v>
      </c>
    </row>
    <row r="60" spans="1:13" x14ac:dyDescent="0.2">
      <c r="A60" s="21" t="s">
        <v>49</v>
      </c>
      <c r="B60" s="55">
        <f>B58+B59</f>
        <v>20000</v>
      </c>
      <c r="C60" s="55">
        <f t="shared" ref="C60:K60" si="33">C58+C59</f>
        <v>22141.480991238655</v>
      </c>
      <c r="D60" s="55">
        <f t="shared" si="33"/>
        <v>21255.879016206702</v>
      </c>
      <c r="E60" s="55">
        <f t="shared" si="33"/>
        <v>20370.306100400085</v>
      </c>
      <c r="F60" s="55">
        <f t="shared" si="33"/>
        <v>19395.7040442406</v>
      </c>
      <c r="G60" s="55">
        <f t="shared" si="33"/>
        <v>18326.163287728992</v>
      </c>
      <c r="H60" s="55">
        <f t="shared" si="33"/>
        <v>17152.198998104592</v>
      </c>
      <c r="I60" s="55">
        <f t="shared" si="33"/>
        <v>15863.48964797577</v>
      </c>
      <c r="J60" s="55">
        <f t="shared" si="33"/>
        <v>14448.689412296739</v>
      </c>
      <c r="K60" s="55">
        <f t="shared" si="33"/>
        <v>12895.325627837636</v>
      </c>
    </row>
    <row r="61" spans="1:13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3" x14ac:dyDescent="0.2">
      <c r="A62" s="17" t="s">
        <v>50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3" x14ac:dyDescent="0.2">
      <c r="A63" s="20" t="s">
        <v>51</v>
      </c>
      <c r="B63" s="52">
        <f>B133</f>
        <v>31000</v>
      </c>
      <c r="C63" s="52">
        <f t="shared" ref="C63:K63" si="34">B63+C133-C134</f>
        <v>31000</v>
      </c>
      <c r="D63" s="52">
        <f t="shared" si="34"/>
        <v>31000</v>
      </c>
      <c r="E63" s="52">
        <f t="shared" si="34"/>
        <v>31000</v>
      </c>
      <c r="F63" s="52">
        <f t="shared" si="34"/>
        <v>31000</v>
      </c>
      <c r="G63" s="52">
        <f t="shared" si="34"/>
        <v>31000</v>
      </c>
      <c r="H63" s="52">
        <f t="shared" si="34"/>
        <v>31000</v>
      </c>
      <c r="I63" s="52">
        <f t="shared" si="34"/>
        <v>31000</v>
      </c>
      <c r="J63" s="52">
        <f t="shared" si="34"/>
        <v>31000</v>
      </c>
      <c r="K63" s="52">
        <f t="shared" si="34"/>
        <v>31000</v>
      </c>
      <c r="M63" s="2" t="s">
        <v>147</v>
      </c>
    </row>
    <row r="64" spans="1:13" x14ac:dyDescent="0.2">
      <c r="A64" s="20" t="s">
        <v>52</v>
      </c>
      <c r="B64" s="49">
        <f>B26</f>
        <v>0</v>
      </c>
      <c r="C64" s="49">
        <f t="shared" ref="C64:K64" si="35">C26</f>
        <v>1593.75</v>
      </c>
      <c r="D64" s="49">
        <f t="shared" si="35"/>
        <v>2196.5003784752034</v>
      </c>
      <c r="E64" s="49">
        <f t="shared" si="35"/>
        <v>2863.7332947979271</v>
      </c>
      <c r="F64" s="49">
        <f t="shared" si="35"/>
        <v>3602.1379777529219</v>
      </c>
      <c r="G64" s="49">
        <f t="shared" si="35"/>
        <v>4419.0870757534176</v>
      </c>
      <c r="H64" s="49">
        <f t="shared" si="35"/>
        <v>5322.7059194814628</v>
      </c>
      <c r="I64" s="49">
        <f t="shared" si="35"/>
        <v>6321.9487724933861</v>
      </c>
      <c r="J64" s="49">
        <f t="shared" si="35"/>
        <v>7426.6827729253073</v>
      </c>
      <c r="K64" s="49">
        <f t="shared" si="35"/>
        <v>8647.780340064317</v>
      </c>
    </row>
    <row r="65" spans="1:13" x14ac:dyDescent="0.2">
      <c r="A65" s="20" t="s">
        <v>53</v>
      </c>
      <c r="B65" s="53"/>
      <c r="C65" s="53">
        <f>B28+B65</f>
        <v>0</v>
      </c>
      <c r="D65" s="53">
        <f t="shared" ref="D65:K65" si="36">C28+C65</f>
        <v>1593.75</v>
      </c>
      <c r="E65" s="53">
        <f t="shared" si="36"/>
        <v>2472.3501513900815</v>
      </c>
      <c r="F65" s="53">
        <f t="shared" si="36"/>
        <v>3617.8434693092522</v>
      </c>
      <c r="G65" s="53">
        <f t="shared" si="36"/>
        <v>5058.6986604104204</v>
      </c>
      <c r="H65" s="53">
        <f t="shared" si="36"/>
        <v>6826.3334907117878</v>
      </c>
      <c r="I65" s="53">
        <f t="shared" si="36"/>
        <v>8955.4158585043733</v>
      </c>
      <c r="J65" s="53">
        <f t="shared" si="36"/>
        <v>11484.195367501728</v>
      </c>
      <c r="K65" s="53">
        <f t="shared" si="36"/>
        <v>14454.868476671851</v>
      </c>
    </row>
    <row r="66" spans="1:13" x14ac:dyDescent="0.2">
      <c r="A66" s="22" t="s">
        <v>54</v>
      </c>
      <c r="B66" s="54">
        <f>SUM(B63:B65)</f>
        <v>31000</v>
      </c>
      <c r="C66" s="54">
        <f t="shared" ref="C66:K66" si="37">SUM(C63:C65)</f>
        <v>32593.75</v>
      </c>
      <c r="D66" s="54">
        <f t="shared" si="37"/>
        <v>34790.250378475204</v>
      </c>
      <c r="E66" s="54">
        <f t="shared" si="37"/>
        <v>36336.083446188015</v>
      </c>
      <c r="F66" s="54">
        <f t="shared" si="37"/>
        <v>38219.981447062171</v>
      </c>
      <c r="G66" s="54">
        <f t="shared" si="37"/>
        <v>40477.785736163831</v>
      </c>
      <c r="H66" s="54">
        <f t="shared" si="37"/>
        <v>43149.039410193254</v>
      </c>
      <c r="I66" s="54">
        <f t="shared" si="37"/>
        <v>46277.364630997763</v>
      </c>
      <c r="J66" s="54">
        <f t="shared" si="37"/>
        <v>49910.878140427034</v>
      </c>
      <c r="K66" s="54">
        <f t="shared" si="37"/>
        <v>54102.648816736168</v>
      </c>
    </row>
    <row r="67" spans="1:13" x14ac:dyDescent="0.2">
      <c r="A67" s="23" t="s">
        <v>55</v>
      </c>
      <c r="B67" s="58">
        <f>B60+B66</f>
        <v>51000</v>
      </c>
      <c r="C67" s="58">
        <f t="shared" ref="C67:K67" si="38">C60+C66</f>
        <v>54735.230991238655</v>
      </c>
      <c r="D67" s="58">
        <f t="shared" si="38"/>
        <v>56046.129394681906</v>
      </c>
      <c r="E67" s="58">
        <f t="shared" si="38"/>
        <v>56706.3895465881</v>
      </c>
      <c r="F67" s="58">
        <f t="shared" si="38"/>
        <v>57615.685491302771</v>
      </c>
      <c r="G67" s="58">
        <f t="shared" si="38"/>
        <v>58803.949023892827</v>
      </c>
      <c r="H67" s="58">
        <f t="shared" si="38"/>
        <v>60301.238408297846</v>
      </c>
      <c r="I67" s="58">
        <f t="shared" si="38"/>
        <v>62140.854278973537</v>
      </c>
      <c r="J67" s="58">
        <f t="shared" si="38"/>
        <v>64359.567552723776</v>
      </c>
      <c r="K67" s="58">
        <f t="shared" si="38"/>
        <v>66997.974444573803</v>
      </c>
    </row>
    <row r="68" spans="1:13" x14ac:dyDescent="0.2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3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3" x14ac:dyDescent="0.2">
      <c r="A70" s="232" t="s">
        <v>56</v>
      </c>
      <c r="B70" s="234" t="s">
        <v>4</v>
      </c>
      <c r="C70" s="235"/>
      <c r="D70" s="235"/>
      <c r="E70" s="235"/>
      <c r="F70" s="235"/>
      <c r="G70" s="235"/>
      <c r="H70" s="235"/>
      <c r="I70" s="235"/>
      <c r="J70" s="235"/>
      <c r="K70" s="236"/>
    </row>
    <row r="71" spans="1:13" x14ac:dyDescent="0.2">
      <c r="A71" s="233"/>
      <c r="B71" s="3">
        <v>2010</v>
      </c>
      <c r="C71" s="3">
        <v>2011</v>
      </c>
      <c r="D71" s="3">
        <v>2012</v>
      </c>
      <c r="E71" s="3">
        <v>2013</v>
      </c>
      <c r="F71" s="3">
        <v>2014</v>
      </c>
      <c r="G71" s="3">
        <v>2015</v>
      </c>
      <c r="H71" s="3">
        <v>2016</v>
      </c>
      <c r="I71" s="3">
        <v>2017</v>
      </c>
      <c r="J71" s="3">
        <v>2018</v>
      </c>
      <c r="K71" s="3">
        <v>2019</v>
      </c>
    </row>
    <row r="72" spans="1:13" x14ac:dyDescent="0.2">
      <c r="A72" s="26" t="s">
        <v>57</v>
      </c>
      <c r="B72" s="57">
        <f>B43</f>
        <v>0</v>
      </c>
      <c r="C72" s="57">
        <f t="shared" ref="C72:K72" si="39">C43</f>
        <v>776.89765790532419</v>
      </c>
      <c r="D72" s="57">
        <f t="shared" si="39"/>
        <v>1691.3153133003107</v>
      </c>
      <c r="E72" s="57">
        <f t="shared" si="39"/>
        <v>1915.3967838270073</v>
      </c>
      <c r="F72" s="57">
        <f t="shared" si="39"/>
        <v>2345.547660649584</v>
      </c>
      <c r="G72" s="57">
        <f t="shared" si="39"/>
        <v>3006.5985675089587</v>
      </c>
      <c r="H72" s="57">
        <f t="shared" si="39"/>
        <v>3923.7974928249141</v>
      </c>
      <c r="I72" s="57">
        <f t="shared" si="39"/>
        <v>5125.155489396172</v>
      </c>
      <c r="J72" s="57">
        <f t="shared" si="39"/>
        <v>6641.6247356492704</v>
      </c>
      <c r="K72" s="57">
        <f t="shared" si="39"/>
        <v>8507.4007177107596</v>
      </c>
    </row>
    <row r="73" spans="1:13" x14ac:dyDescent="0.2">
      <c r="A73" s="27" t="s">
        <v>58</v>
      </c>
      <c r="B73" s="59">
        <f>B46-B43-(B58-B57)</f>
        <v>1000</v>
      </c>
      <c r="C73" s="59">
        <f t="shared" ref="C73:K73" si="40">C46-C43-(C58-C57)</f>
        <v>561.94444444444434</v>
      </c>
      <c r="D73" s="59">
        <f t="shared" si="40"/>
        <v>463.62848010940161</v>
      </c>
      <c r="E73" s="59">
        <f t="shared" si="40"/>
        <v>266.94152113873224</v>
      </c>
      <c r="F73" s="59">
        <f t="shared" si="40"/>
        <v>50.406233417866133</v>
      </c>
      <c r="G73" s="59">
        <f t="shared" si="40"/>
        <v>-190.15103728954819</v>
      </c>
      <c r="H73" s="59">
        <f t="shared" si="40"/>
        <v>-457.13800682076817</v>
      </c>
      <c r="I73" s="59">
        <f t="shared" si="40"/>
        <v>-753.31667265666056</v>
      </c>
      <c r="J73" s="59">
        <f t="shared" si="40"/>
        <v>-1081.732888556543</v>
      </c>
      <c r="K73" s="59">
        <f t="shared" si="40"/>
        <v>-1445.7447212925581</v>
      </c>
    </row>
    <row r="74" spans="1:13" x14ac:dyDescent="0.2">
      <c r="A74" s="27" t="s">
        <v>59</v>
      </c>
      <c r="B74" s="59">
        <f>B49</f>
        <v>50000</v>
      </c>
      <c r="C74" s="59">
        <f t="shared" ref="C74:K74" si="41">C49</f>
        <v>50000</v>
      </c>
      <c r="D74" s="59">
        <f t="shared" si="41"/>
        <v>50000</v>
      </c>
      <c r="E74" s="59">
        <f t="shared" si="41"/>
        <v>50000</v>
      </c>
      <c r="F74" s="59">
        <f t="shared" si="41"/>
        <v>50000</v>
      </c>
      <c r="G74" s="59">
        <f t="shared" si="41"/>
        <v>50000</v>
      </c>
      <c r="H74" s="59">
        <f t="shared" si="41"/>
        <v>50000</v>
      </c>
      <c r="I74" s="59">
        <f t="shared" si="41"/>
        <v>50000</v>
      </c>
      <c r="J74" s="59">
        <f t="shared" si="41"/>
        <v>50000</v>
      </c>
      <c r="K74" s="59">
        <f t="shared" si="41"/>
        <v>50000</v>
      </c>
    </row>
    <row r="75" spans="1:13" x14ac:dyDescent="0.2">
      <c r="A75" s="28" t="s">
        <v>60</v>
      </c>
      <c r="B75" s="58">
        <f>SUM(B72:B74)</f>
        <v>51000</v>
      </c>
      <c r="C75" s="58">
        <f t="shared" ref="C75:K75" si="42">SUM(C72:C74)</f>
        <v>51338.842102349765</v>
      </c>
      <c r="D75" s="58">
        <f t="shared" si="42"/>
        <v>52154.943793409715</v>
      </c>
      <c r="E75" s="58">
        <f t="shared" si="42"/>
        <v>52182.338304965742</v>
      </c>
      <c r="F75" s="58">
        <f t="shared" si="42"/>
        <v>52395.953894067454</v>
      </c>
      <c r="G75" s="58">
        <f t="shared" si="42"/>
        <v>52816.447530219411</v>
      </c>
      <c r="H75" s="58">
        <f t="shared" si="42"/>
        <v>53466.659486004144</v>
      </c>
      <c r="I75" s="58">
        <f t="shared" si="42"/>
        <v>54371.83881673951</v>
      </c>
      <c r="J75" s="58">
        <f t="shared" si="42"/>
        <v>55559.891847092731</v>
      </c>
      <c r="K75" s="58">
        <f t="shared" si="42"/>
        <v>57061.655996418202</v>
      </c>
    </row>
    <row r="76" spans="1:13" x14ac:dyDescent="0.2">
      <c r="A76" s="29"/>
      <c r="B76" s="56">
        <f>B75-B80</f>
        <v>0</v>
      </c>
      <c r="C76" s="56">
        <f t="shared" ref="C76:K76" si="43">C75-C80</f>
        <v>0</v>
      </c>
      <c r="D76" s="56">
        <f t="shared" si="43"/>
        <v>0</v>
      </c>
      <c r="E76" s="56">
        <f t="shared" si="43"/>
        <v>0</v>
      </c>
      <c r="F76" s="56">
        <f t="shared" si="43"/>
        <v>0</v>
      </c>
      <c r="G76" s="56">
        <f t="shared" si="43"/>
        <v>0</v>
      </c>
      <c r="H76" s="56">
        <f t="shared" si="43"/>
        <v>0</v>
      </c>
      <c r="I76" s="56">
        <f t="shared" si="43"/>
        <v>0</v>
      </c>
      <c r="J76" s="56">
        <f t="shared" si="43"/>
        <v>0</v>
      </c>
      <c r="K76" s="56">
        <f t="shared" si="43"/>
        <v>0</v>
      </c>
    </row>
    <row r="77" spans="1:13" x14ac:dyDescent="0.2">
      <c r="A77" s="26" t="s">
        <v>61</v>
      </c>
      <c r="B77" s="57">
        <f>B57</f>
        <v>0</v>
      </c>
      <c r="C77" s="57">
        <f t="shared" ref="C77:K77" si="44">C57</f>
        <v>0</v>
      </c>
      <c r="D77" s="57">
        <f t="shared" si="44"/>
        <v>0</v>
      </c>
      <c r="E77" s="57">
        <f t="shared" si="44"/>
        <v>0</v>
      </c>
      <c r="F77" s="57">
        <f t="shared" si="44"/>
        <v>0</v>
      </c>
      <c r="G77" s="57">
        <f t="shared" si="44"/>
        <v>0</v>
      </c>
      <c r="H77" s="57">
        <f t="shared" si="44"/>
        <v>0</v>
      </c>
      <c r="I77" s="57">
        <f t="shared" si="44"/>
        <v>0</v>
      </c>
      <c r="J77" s="57">
        <f t="shared" si="44"/>
        <v>0</v>
      </c>
      <c r="K77" s="57">
        <f t="shared" si="44"/>
        <v>0</v>
      </c>
    </row>
    <row r="78" spans="1:13" x14ac:dyDescent="0.2">
      <c r="A78" s="27" t="s">
        <v>62</v>
      </c>
      <c r="B78" s="59">
        <f>B59</f>
        <v>20000</v>
      </c>
      <c r="C78" s="59">
        <f t="shared" ref="C78:K78" si="45">C59</f>
        <v>18745.092102349769</v>
      </c>
      <c r="D78" s="59">
        <f t="shared" si="45"/>
        <v>17364.693414934514</v>
      </c>
      <c r="E78" s="59">
        <f t="shared" si="45"/>
        <v>15846.254858777733</v>
      </c>
      <c r="F78" s="59">
        <f t="shared" si="45"/>
        <v>14175.972447005273</v>
      </c>
      <c r="G78" s="59">
        <f t="shared" si="45"/>
        <v>12338.661794055568</v>
      </c>
      <c r="H78" s="59">
        <f t="shared" si="45"/>
        <v>10317.620075810893</v>
      </c>
      <c r="I78" s="59">
        <f t="shared" si="45"/>
        <v>8094.4741857417503</v>
      </c>
      <c r="J78" s="59">
        <f t="shared" si="45"/>
        <v>5649.0137066656935</v>
      </c>
      <c r="K78" s="59">
        <f t="shared" si="45"/>
        <v>2959.0071796820303</v>
      </c>
      <c r="M78" s="11"/>
    </row>
    <row r="79" spans="1:13" x14ac:dyDescent="0.2">
      <c r="A79" s="27" t="s">
        <v>63</v>
      </c>
      <c r="B79" s="59">
        <f>B66</f>
        <v>31000</v>
      </c>
      <c r="C79" s="59">
        <f t="shared" ref="C79:K79" si="46">C66</f>
        <v>32593.75</v>
      </c>
      <c r="D79" s="59">
        <f t="shared" si="46"/>
        <v>34790.250378475204</v>
      </c>
      <c r="E79" s="59">
        <f t="shared" si="46"/>
        <v>36336.083446188015</v>
      </c>
      <c r="F79" s="59">
        <f t="shared" si="46"/>
        <v>38219.981447062171</v>
      </c>
      <c r="G79" s="59">
        <f t="shared" si="46"/>
        <v>40477.785736163831</v>
      </c>
      <c r="H79" s="59">
        <f t="shared" si="46"/>
        <v>43149.039410193254</v>
      </c>
      <c r="I79" s="59">
        <f t="shared" si="46"/>
        <v>46277.364630997763</v>
      </c>
      <c r="J79" s="59">
        <f t="shared" si="46"/>
        <v>49910.878140427034</v>
      </c>
      <c r="K79" s="59">
        <f t="shared" si="46"/>
        <v>54102.648816736168</v>
      </c>
    </row>
    <row r="80" spans="1:13" x14ac:dyDescent="0.2">
      <c r="A80" s="28" t="s">
        <v>64</v>
      </c>
      <c r="B80" s="58">
        <f>SUM(B77:B79)</f>
        <v>51000</v>
      </c>
      <c r="C80" s="58">
        <f t="shared" ref="C80:K80" si="47">SUM(C77:C79)</f>
        <v>51338.842102349765</v>
      </c>
      <c r="D80" s="58">
        <f t="shared" si="47"/>
        <v>52154.943793409722</v>
      </c>
      <c r="E80" s="58">
        <f t="shared" si="47"/>
        <v>52182.33830496575</v>
      </c>
      <c r="F80" s="58">
        <f t="shared" si="47"/>
        <v>52395.953894067447</v>
      </c>
      <c r="G80" s="58">
        <f t="shared" si="47"/>
        <v>52816.447530219397</v>
      </c>
      <c r="H80" s="58">
        <f t="shared" si="47"/>
        <v>53466.659486004151</v>
      </c>
      <c r="I80" s="58">
        <f t="shared" si="47"/>
        <v>54371.838816739517</v>
      </c>
      <c r="J80" s="58">
        <f t="shared" si="47"/>
        <v>55559.891847092731</v>
      </c>
      <c r="K80" s="58">
        <f t="shared" si="47"/>
        <v>57061.655996418194</v>
      </c>
    </row>
    <row r="81" spans="1:11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x14ac:dyDescent="0.2">
      <c r="A82" s="1" t="s">
        <v>65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">
      <c r="A83" s="30" t="s">
        <v>58</v>
      </c>
      <c r="B83" s="60">
        <f>B73</f>
        <v>1000</v>
      </c>
      <c r="C83" s="60">
        <f t="shared" ref="C83:K83" si="48">C73</f>
        <v>561.94444444444434</v>
      </c>
      <c r="D83" s="60">
        <f t="shared" si="48"/>
        <v>463.62848010940161</v>
      </c>
      <c r="E83" s="60">
        <f t="shared" si="48"/>
        <v>266.94152113873224</v>
      </c>
      <c r="F83" s="60">
        <f t="shared" si="48"/>
        <v>50.406233417866133</v>
      </c>
      <c r="G83" s="60">
        <f t="shared" si="48"/>
        <v>-190.15103728954819</v>
      </c>
      <c r="H83" s="60">
        <f t="shared" si="48"/>
        <v>-457.13800682076817</v>
      </c>
      <c r="I83" s="60">
        <f t="shared" si="48"/>
        <v>-753.31667265666056</v>
      </c>
      <c r="J83" s="60">
        <f t="shared" si="48"/>
        <v>-1081.732888556543</v>
      </c>
      <c r="K83" s="60">
        <f t="shared" si="48"/>
        <v>-1445.7447212925581</v>
      </c>
    </row>
    <row r="84" spans="1:11" x14ac:dyDescent="0.2">
      <c r="A84" s="30" t="s">
        <v>66</v>
      </c>
      <c r="B84" s="61">
        <f>B78+B79-B74</f>
        <v>1000</v>
      </c>
      <c r="C84" s="61">
        <f t="shared" ref="C84:K84" si="49">C78+C79-C74</f>
        <v>1338.8421023497649</v>
      </c>
      <c r="D84" s="61">
        <f t="shared" si="49"/>
        <v>2154.9437934097223</v>
      </c>
      <c r="E84" s="61">
        <f t="shared" si="49"/>
        <v>2182.3383049657496</v>
      </c>
      <c r="F84" s="61">
        <f t="shared" si="49"/>
        <v>2395.9538940674465</v>
      </c>
      <c r="G84" s="61">
        <f t="shared" si="49"/>
        <v>2816.4475302193969</v>
      </c>
      <c r="H84" s="61">
        <f t="shared" si="49"/>
        <v>3466.6594860041514</v>
      </c>
      <c r="I84" s="61">
        <f t="shared" si="49"/>
        <v>4371.8388167395169</v>
      </c>
      <c r="J84" s="61">
        <f t="shared" si="49"/>
        <v>5559.891847092731</v>
      </c>
      <c r="K84" s="61">
        <f t="shared" si="49"/>
        <v>7061.6559964181943</v>
      </c>
    </row>
    <row r="85" spans="1:11" x14ac:dyDescent="0.2">
      <c r="A85" s="30" t="s">
        <v>67</v>
      </c>
      <c r="B85" s="56">
        <f>MAX(B84-B83,0)</f>
        <v>0</v>
      </c>
      <c r="C85" s="56">
        <f t="shared" ref="C85:K85" si="50">MAX(C84-C83,0)</f>
        <v>776.89765790532056</v>
      </c>
      <c r="D85" s="56">
        <f t="shared" si="50"/>
        <v>1691.3153133003207</v>
      </c>
      <c r="E85" s="56">
        <f t="shared" si="50"/>
        <v>1915.3967838270173</v>
      </c>
      <c r="F85" s="56">
        <f t="shared" si="50"/>
        <v>2345.5476606495804</v>
      </c>
      <c r="G85" s="56">
        <f t="shared" si="50"/>
        <v>3006.5985675089451</v>
      </c>
      <c r="H85" s="56">
        <f t="shared" si="50"/>
        <v>3923.7974928249196</v>
      </c>
      <c r="I85" s="56">
        <f t="shared" si="50"/>
        <v>5125.1554893961775</v>
      </c>
      <c r="J85" s="56">
        <f t="shared" si="50"/>
        <v>6641.624735649274</v>
      </c>
      <c r="K85" s="56">
        <f t="shared" si="50"/>
        <v>8507.4007177107524</v>
      </c>
    </row>
    <row r="86" spans="1:11" x14ac:dyDescent="0.2">
      <c r="A86" s="30" t="s">
        <v>68</v>
      </c>
      <c r="B86" s="56">
        <f>MIN(B84-B83,0)</f>
        <v>0</v>
      </c>
      <c r="C86" s="56">
        <f t="shared" ref="C86:K86" si="51">MIN(C84-C83,0)</f>
        <v>0</v>
      </c>
      <c r="D86" s="56">
        <f t="shared" si="51"/>
        <v>0</v>
      </c>
      <c r="E86" s="56">
        <f t="shared" si="51"/>
        <v>0</v>
      </c>
      <c r="F86" s="56">
        <f t="shared" si="51"/>
        <v>0</v>
      </c>
      <c r="G86" s="56">
        <f t="shared" si="51"/>
        <v>0</v>
      </c>
      <c r="H86" s="56">
        <f t="shared" si="51"/>
        <v>0</v>
      </c>
      <c r="I86" s="56">
        <f t="shared" si="51"/>
        <v>0</v>
      </c>
      <c r="J86" s="56">
        <f t="shared" si="51"/>
        <v>0</v>
      </c>
      <c r="K86" s="56">
        <f t="shared" si="51"/>
        <v>0</v>
      </c>
    </row>
    <row r="87" spans="1:11" x14ac:dyDescent="0.2">
      <c r="A87" s="30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x14ac:dyDescent="0.2">
      <c r="A88" s="30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 x14ac:dyDescent="0.2">
      <c r="A89" s="1" t="s">
        <v>69</v>
      </c>
    </row>
    <row r="90" spans="1:11" x14ac:dyDescent="0.2">
      <c r="A90" s="2" t="s">
        <v>70</v>
      </c>
      <c r="B90" s="93"/>
      <c r="C90" s="93">
        <f t="shared" ref="C90:K90" si="52">C26/C10</f>
        <v>6.3750000000000001E-2</v>
      </c>
      <c r="D90" s="93">
        <f t="shared" si="52"/>
        <v>7.9872741035461936E-2</v>
      </c>
      <c r="E90" s="93">
        <f t="shared" si="52"/>
        <v>9.4668869249518228E-2</v>
      </c>
      <c r="F90" s="93">
        <f t="shared" si="52"/>
        <v>0.10825358310301791</v>
      </c>
      <c r="G90" s="93">
        <f t="shared" si="52"/>
        <v>0.12073183732677865</v>
      </c>
      <c r="H90" s="93">
        <f t="shared" si="52"/>
        <v>0.132199264071169</v>
      </c>
      <c r="I90" s="93">
        <f t="shared" si="52"/>
        <v>0.14274301076831972</v>
      </c>
      <c r="J90" s="93">
        <f t="shared" si="52"/>
        <v>0.15244250225803022</v>
      </c>
      <c r="K90" s="93">
        <f t="shared" si="52"/>
        <v>0.16137013404290557</v>
      </c>
    </row>
    <row r="91" spans="1:11" x14ac:dyDescent="0.2">
      <c r="A91" s="2" t="s">
        <v>71</v>
      </c>
      <c r="B91" s="93"/>
      <c r="C91" s="93">
        <f>C26/B75</f>
        <v>3.125E-2</v>
      </c>
      <c r="D91" s="93">
        <f t="shared" ref="D91:K91" si="53">D26/C75</f>
        <v>4.2784377062814009E-2</v>
      </c>
      <c r="E91" s="93">
        <f t="shared" si="53"/>
        <v>5.4908184852838202E-2</v>
      </c>
      <c r="F91" s="93">
        <f t="shared" si="53"/>
        <v>6.9029830681430718E-2</v>
      </c>
      <c r="G91" s="93">
        <f t="shared" si="53"/>
        <v>8.4340235215257145E-2</v>
      </c>
      <c r="H91" s="93">
        <f t="shared" si="53"/>
        <v>0.10077743143243453</v>
      </c>
      <c r="I91" s="93">
        <f t="shared" si="53"/>
        <v>0.11824095302135473</v>
      </c>
      <c r="J91" s="93">
        <f t="shared" si="53"/>
        <v>0.13659061261394836</v>
      </c>
      <c r="K91" s="93">
        <f t="shared" si="53"/>
        <v>0.15564789729728079</v>
      </c>
    </row>
    <row r="92" spans="1:11" x14ac:dyDescent="0.2">
      <c r="A92" s="2" t="s">
        <v>72</v>
      </c>
      <c r="B92" s="93"/>
      <c r="C92" s="93">
        <f>C22*(1-36.25%)/B75</f>
        <v>5.6250000000000001E-2</v>
      </c>
      <c r="D92" s="93">
        <f t="shared" ref="D92:K92" si="54">D22*(1-36.25%)/C75</f>
        <v>6.6061092559093246E-2</v>
      </c>
      <c r="E92" s="93">
        <f t="shared" si="54"/>
        <v>7.6133386620613003E-2</v>
      </c>
      <c r="F92" s="93">
        <f t="shared" si="54"/>
        <v>8.838884716212661E-2</v>
      </c>
      <c r="G92" s="93">
        <f t="shared" si="54"/>
        <v>0.10158809838659469</v>
      </c>
      <c r="H92" s="93">
        <f t="shared" si="54"/>
        <v>0.115670324198859</v>
      </c>
      <c r="I92" s="93">
        <f t="shared" si="54"/>
        <v>0.1305429798574454</v>
      </c>
      <c r="J92" s="93">
        <f t="shared" si="54"/>
        <v>0.14608123755088112</v>
      </c>
      <c r="K92" s="93">
        <f t="shared" si="54"/>
        <v>0.16212963460503224</v>
      </c>
    </row>
    <row r="93" spans="1:11" x14ac:dyDescent="0.2">
      <c r="A93" s="2" t="s">
        <v>73</v>
      </c>
      <c r="B93" s="93"/>
      <c r="C93" s="93">
        <f>C26/B79</f>
        <v>5.1411290322580648E-2</v>
      </c>
      <c r="D93" s="93">
        <f t="shared" ref="D93:K93" si="55">D26/C79</f>
        <v>6.7390232129632327E-2</v>
      </c>
      <c r="E93" s="93">
        <f t="shared" si="55"/>
        <v>8.2314247918426148E-2</v>
      </c>
      <c r="F93" s="93">
        <f t="shared" si="55"/>
        <v>9.9133908669257503E-2</v>
      </c>
      <c r="G93" s="93">
        <f t="shared" si="55"/>
        <v>0.11562242859469249</v>
      </c>
      <c r="H93" s="93">
        <f t="shared" si="55"/>
        <v>0.13149696364754529</v>
      </c>
      <c r="I93" s="93">
        <f t="shared" si="55"/>
        <v>0.14651424131124294</v>
      </c>
      <c r="J93" s="93">
        <f t="shared" si="55"/>
        <v>0.16048197282069784</v>
      </c>
      <c r="K93" s="93">
        <f t="shared" si="55"/>
        <v>0.17326443978271241</v>
      </c>
    </row>
    <row r="95" spans="1:11" x14ac:dyDescent="0.2">
      <c r="A95" s="1" t="s">
        <v>74</v>
      </c>
    </row>
    <row r="96" spans="1:11" x14ac:dyDescent="0.2">
      <c r="A96" s="2" t="s">
        <v>75</v>
      </c>
      <c r="B96" s="90"/>
      <c r="C96" s="90">
        <f>C10/B75</f>
        <v>0.49019607843137253</v>
      </c>
      <c r="D96" s="90">
        <f t="shared" ref="D96:K96" si="56">D10/C75</f>
        <v>0.53565680241045666</v>
      </c>
      <c r="E96" s="90">
        <f t="shared" si="56"/>
        <v>0.58000254242096205</v>
      </c>
      <c r="F96" s="90">
        <f t="shared" si="56"/>
        <v>0.63766786006278897</v>
      </c>
      <c r="G96" s="90">
        <f t="shared" si="56"/>
        <v>0.69857493336225607</v>
      </c>
      <c r="H96" s="90">
        <f t="shared" si="56"/>
        <v>0.76231461756232888</v>
      </c>
      <c r="I96" s="90">
        <f t="shared" si="56"/>
        <v>0.82834845912887967</v>
      </c>
      <c r="J96" s="90">
        <f t="shared" si="56"/>
        <v>0.89601397635647373</v>
      </c>
      <c r="K96" s="90">
        <f t="shared" si="56"/>
        <v>0.96453967904554549</v>
      </c>
    </row>
    <row r="97" spans="1:11" x14ac:dyDescent="0.2">
      <c r="A97" s="2" t="s">
        <v>76</v>
      </c>
      <c r="B97" s="93"/>
      <c r="C97" s="90">
        <f>C84/C83</f>
        <v>2.3825168405631016</v>
      </c>
      <c r="D97" s="90">
        <f t="shared" ref="D97:K97" si="57">D84/D83</f>
        <v>4.6479970188656745</v>
      </c>
      <c r="E97" s="90">
        <f t="shared" si="57"/>
        <v>8.1753422834193188</v>
      </c>
      <c r="F97" s="90">
        <f t="shared" si="57"/>
        <v>47.532888922785837</v>
      </c>
      <c r="G97" s="90">
        <f t="shared" si="57"/>
        <v>-14.811633795774226</v>
      </c>
      <c r="H97" s="90">
        <f t="shared" si="57"/>
        <v>-7.5833980860911829</v>
      </c>
      <c r="I97" s="90">
        <f t="shared" si="57"/>
        <v>-5.8034542117881305</v>
      </c>
      <c r="J97" s="90">
        <f t="shared" si="57"/>
        <v>-5.1398010598640598</v>
      </c>
      <c r="K97" s="90">
        <f t="shared" si="57"/>
        <v>-4.8844418329293777</v>
      </c>
    </row>
    <row r="98" spans="1:1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x14ac:dyDescent="0.2">
      <c r="A99" s="1" t="s">
        <v>77</v>
      </c>
      <c r="B99" s="13"/>
      <c r="C99" s="14"/>
      <c r="D99" s="14"/>
      <c r="E99" s="14"/>
      <c r="F99" s="14"/>
      <c r="G99" s="14"/>
      <c r="H99" s="14"/>
      <c r="I99" s="14"/>
      <c r="J99" s="14"/>
      <c r="K99" s="14"/>
    </row>
    <row r="100" spans="1:11" x14ac:dyDescent="0.2">
      <c r="A100" s="2" t="s">
        <v>152</v>
      </c>
      <c r="B100" s="94">
        <f>B78/B75</f>
        <v>0.39215686274509803</v>
      </c>
      <c r="C100" s="94">
        <f t="shared" ref="C100:K100" si="58">C78/C75</f>
        <v>0.36512494896124292</v>
      </c>
      <c r="D100" s="94">
        <f t="shared" si="58"/>
        <v>0.332944341455291</v>
      </c>
      <c r="E100" s="94">
        <f t="shared" si="58"/>
        <v>0.30367084675601402</v>
      </c>
      <c r="F100" s="94">
        <f t="shared" si="58"/>
        <v>0.270554716413138</v>
      </c>
      <c r="G100" s="94">
        <f t="shared" si="58"/>
        <v>0.23361400417920744</v>
      </c>
      <c r="H100" s="94">
        <f t="shared" si="58"/>
        <v>0.19297296997789276</v>
      </c>
      <c r="I100" s="94">
        <f t="shared" si="58"/>
        <v>0.1488725480303178</v>
      </c>
      <c r="J100" s="94">
        <f t="shared" si="58"/>
        <v>0.10167431070982706</v>
      </c>
      <c r="K100" s="94">
        <f t="shared" si="58"/>
        <v>5.1856314507727728E-2</v>
      </c>
    </row>
    <row r="101" spans="1:11" x14ac:dyDescent="0.2">
      <c r="A101" s="2" t="s">
        <v>153</v>
      </c>
      <c r="B101" s="90">
        <f>B75/B79</f>
        <v>1.6451612903225807</v>
      </c>
      <c r="C101" s="90">
        <f t="shared" ref="C101:K101" si="59">C75/C79</f>
        <v>1.575113084635851</v>
      </c>
      <c r="D101" s="90">
        <f t="shared" si="59"/>
        <v>1.4991252786636478</v>
      </c>
      <c r="E101" s="90">
        <f t="shared" si="59"/>
        <v>1.4361024457202511</v>
      </c>
      <c r="F101" s="90">
        <f t="shared" si="59"/>
        <v>1.3709047443322331</v>
      </c>
      <c r="G101" s="90">
        <f t="shared" si="59"/>
        <v>1.3048255128005166</v>
      </c>
      <c r="H101" s="90">
        <f t="shared" si="59"/>
        <v>1.2391158694803648</v>
      </c>
      <c r="I101" s="90">
        <f t="shared" si="59"/>
        <v>1.1749121681903179</v>
      </c>
      <c r="J101" s="90">
        <f t="shared" si="59"/>
        <v>1.1131820139644084</v>
      </c>
      <c r="K101" s="90">
        <f t="shared" si="59"/>
        <v>1.0546924641287931</v>
      </c>
    </row>
    <row r="102" spans="1:11" x14ac:dyDescent="0.2">
      <c r="A102" s="30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">
      <c r="A103" s="230" t="s">
        <v>78</v>
      </c>
      <c r="B103" s="227" t="s">
        <v>4</v>
      </c>
      <c r="C103" s="228"/>
      <c r="D103" s="228"/>
      <c r="E103" s="228"/>
      <c r="F103" s="228"/>
      <c r="G103" s="228"/>
      <c r="H103" s="228"/>
      <c r="I103" s="228"/>
      <c r="J103" s="228"/>
      <c r="K103" s="229"/>
    </row>
    <row r="104" spans="1:11" x14ac:dyDescent="0.2">
      <c r="A104" s="231"/>
      <c r="B104" s="91">
        <v>2010</v>
      </c>
      <c r="C104" s="91">
        <v>2011</v>
      </c>
      <c r="D104" s="91">
        <v>2012</v>
      </c>
      <c r="E104" s="91">
        <v>2013</v>
      </c>
      <c r="F104" s="91">
        <v>2014</v>
      </c>
      <c r="G104" s="91">
        <v>2015</v>
      </c>
      <c r="H104" s="91">
        <v>2016</v>
      </c>
      <c r="I104" s="91">
        <v>2017</v>
      </c>
      <c r="J104" s="91">
        <v>2018</v>
      </c>
      <c r="K104" s="91">
        <v>2019</v>
      </c>
    </row>
    <row r="105" spans="1:11" x14ac:dyDescent="0.2">
      <c r="A105" s="31" t="s">
        <v>79</v>
      </c>
      <c r="B105" s="32"/>
      <c r="C105" s="33"/>
      <c r="D105" s="33"/>
      <c r="E105" s="33"/>
      <c r="F105" s="33"/>
      <c r="G105" s="33"/>
      <c r="H105" s="33"/>
      <c r="I105" s="33"/>
      <c r="J105" s="33"/>
      <c r="K105" s="34"/>
    </row>
    <row r="106" spans="1:11" x14ac:dyDescent="0.2">
      <c r="A106" s="35" t="s">
        <v>80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62"/>
    </row>
    <row r="107" spans="1:11" x14ac:dyDescent="0.2">
      <c r="A107" s="19" t="s">
        <v>81</v>
      </c>
      <c r="B107" s="92"/>
      <c r="C107" s="92">
        <f t="shared" ref="C107:K107" si="60">C10+B44-C44</f>
        <v>22916.666666666668</v>
      </c>
      <c r="D107" s="92">
        <f t="shared" si="60"/>
        <v>27291.666666666668</v>
      </c>
      <c r="E107" s="92">
        <f t="shared" si="60"/>
        <v>30020.833333333343</v>
      </c>
      <c r="F107" s="92">
        <f t="shared" si="60"/>
        <v>33022.916666666679</v>
      </c>
      <c r="G107" s="92">
        <f t="shared" si="60"/>
        <v>36325.208333333343</v>
      </c>
      <c r="H107" s="92">
        <f t="shared" si="60"/>
        <v>39957.729166666686</v>
      </c>
      <c r="I107" s="92">
        <f t="shared" si="60"/>
        <v>43953.502083333369</v>
      </c>
      <c r="J107" s="92">
        <f t="shared" si="60"/>
        <v>48348.852291666699</v>
      </c>
      <c r="K107" s="92">
        <f t="shared" si="60"/>
        <v>53183.737520833376</v>
      </c>
    </row>
    <row r="108" spans="1:11" x14ac:dyDescent="0.2">
      <c r="A108" s="19" t="s">
        <v>82</v>
      </c>
      <c r="B108" s="48"/>
      <c r="C108" s="48"/>
      <c r="D108" s="48">
        <f>D11</f>
        <v>15.537953158106484</v>
      </c>
      <c r="E108" s="48">
        <f t="shared" ref="E108:K108" si="61">E11</f>
        <v>33.826306266006213</v>
      </c>
      <c r="F108" s="48">
        <f t="shared" si="61"/>
        <v>38.307935676540147</v>
      </c>
      <c r="G108" s="48">
        <f t="shared" si="61"/>
        <v>46.910953212991679</v>
      </c>
      <c r="H108" s="48">
        <f t="shared" si="61"/>
        <v>60.131971350179178</v>
      </c>
      <c r="I108" s="48">
        <f t="shared" si="61"/>
        <v>78.475949856498289</v>
      </c>
      <c r="J108" s="48">
        <f t="shared" si="61"/>
        <v>102.50310978792345</v>
      </c>
      <c r="K108" s="48">
        <f t="shared" si="61"/>
        <v>132.83249471298541</v>
      </c>
    </row>
    <row r="109" spans="1:11" x14ac:dyDescent="0.2">
      <c r="A109" s="36" t="s">
        <v>83</v>
      </c>
      <c r="B109" s="50">
        <f>SUM(B107:B108)</f>
        <v>0</v>
      </c>
      <c r="C109" s="50">
        <f>SUM(C107:C108)</f>
        <v>22916.666666666668</v>
      </c>
      <c r="D109" s="50">
        <f t="shared" ref="D109:K109" si="62">SUM(D107:D108)</f>
        <v>27307.204619824774</v>
      </c>
      <c r="E109" s="50">
        <f t="shared" si="62"/>
        <v>30054.659639599347</v>
      </c>
      <c r="F109" s="50">
        <f t="shared" si="62"/>
        <v>33061.224602343216</v>
      </c>
      <c r="G109" s="50">
        <f t="shared" si="62"/>
        <v>36372.119286546338</v>
      </c>
      <c r="H109" s="50">
        <f t="shared" si="62"/>
        <v>40017.861138016866</v>
      </c>
      <c r="I109" s="50">
        <f t="shared" si="62"/>
        <v>44031.978033189866</v>
      </c>
      <c r="J109" s="50">
        <f t="shared" si="62"/>
        <v>48451.355401454624</v>
      </c>
      <c r="K109" s="50">
        <f t="shared" si="62"/>
        <v>53316.570015546364</v>
      </c>
    </row>
    <row r="110" spans="1:11" x14ac:dyDescent="0.2">
      <c r="A110" s="35" t="s">
        <v>84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62"/>
    </row>
    <row r="111" spans="1:11" x14ac:dyDescent="0.2">
      <c r="A111" s="19" t="s">
        <v>85</v>
      </c>
      <c r="B111" s="92"/>
      <c r="C111" s="92">
        <f>C14+B53-C53</f>
        <v>13454.861111111111</v>
      </c>
      <c r="D111" s="92">
        <f t="shared" ref="D111:K111" si="63">D14+C53-D53</f>
        <v>16446.229066779553</v>
      </c>
      <c r="E111" s="92">
        <f t="shared" si="63"/>
        <v>18020.747633047475</v>
      </c>
      <c r="F111" s="92">
        <f t="shared" si="63"/>
        <v>19825.538927283029</v>
      </c>
      <c r="G111" s="92">
        <f t="shared" si="63"/>
        <v>21812.396184215671</v>
      </c>
      <c r="H111" s="92">
        <f t="shared" si="63"/>
        <v>24001.799904768563</v>
      </c>
      <c r="I111" s="92">
        <f t="shared" si="63"/>
        <v>26413.940898934783</v>
      </c>
      <c r="J111" s="92">
        <f t="shared" si="63"/>
        <v>29071.140089138218</v>
      </c>
      <c r="K111" s="92">
        <f t="shared" si="63"/>
        <v>31997.953759517783</v>
      </c>
    </row>
    <row r="112" spans="1:11" x14ac:dyDescent="0.2">
      <c r="A112" s="19" t="s">
        <v>142</v>
      </c>
      <c r="B112" s="92"/>
      <c r="C112" s="92">
        <f>C18+B54-C54</f>
        <v>1800</v>
      </c>
      <c r="D112" s="92">
        <f t="shared" ref="D112:K113" si="64">D18+C54-D54</f>
        <v>2090</v>
      </c>
      <c r="E112" s="92">
        <f t="shared" si="64"/>
        <v>2194.5</v>
      </c>
      <c r="F112" s="92">
        <f t="shared" si="64"/>
        <v>2304.2249999999999</v>
      </c>
      <c r="G112" s="92">
        <f t="shared" si="64"/>
        <v>2419.4362500000002</v>
      </c>
      <c r="H112" s="92">
        <f t="shared" si="64"/>
        <v>2540.4080625000006</v>
      </c>
      <c r="I112" s="92">
        <f t="shared" si="64"/>
        <v>2667.4284656250011</v>
      </c>
      <c r="J112" s="92">
        <f t="shared" si="64"/>
        <v>2800.7998889062505</v>
      </c>
      <c r="K112" s="92">
        <f t="shared" si="64"/>
        <v>2940.8398833515639</v>
      </c>
    </row>
    <row r="113" spans="1:13" x14ac:dyDescent="0.2">
      <c r="A113" s="19" t="s">
        <v>143</v>
      </c>
      <c r="B113" s="92"/>
      <c r="C113" s="92">
        <f>C19+B55-C55</f>
        <v>880</v>
      </c>
      <c r="D113" s="92">
        <f t="shared" si="64"/>
        <v>1070.4000000000001</v>
      </c>
      <c r="E113" s="92">
        <f t="shared" si="64"/>
        <v>1156.0319999999999</v>
      </c>
      <c r="F113" s="92">
        <f t="shared" si="64"/>
        <v>1248.5145600000003</v>
      </c>
      <c r="G113" s="92">
        <f t="shared" si="64"/>
        <v>1348.3957248000004</v>
      </c>
      <c r="H113" s="92">
        <f t="shared" si="64"/>
        <v>1456.2673827840003</v>
      </c>
      <c r="I113" s="92">
        <f t="shared" si="64"/>
        <v>1572.7687734067206</v>
      </c>
      <c r="J113" s="92">
        <f t="shared" si="64"/>
        <v>1698.5902752792583</v>
      </c>
      <c r="K113" s="92">
        <f t="shared" si="64"/>
        <v>1834.477497301599</v>
      </c>
    </row>
    <row r="114" spans="1:13" x14ac:dyDescent="0.2">
      <c r="A114" s="19" t="s">
        <v>144</v>
      </c>
      <c r="B114" s="92"/>
      <c r="C114" s="92">
        <f>C25+B56-C56</f>
        <v>0</v>
      </c>
      <c r="D114" s="92">
        <f>D25+C56-D56</f>
        <v>906.24999999999977</v>
      </c>
      <c r="E114" s="92">
        <f t="shared" ref="E114:K114" si="65">E25+D56-E56</f>
        <v>1248.9904112898216</v>
      </c>
      <c r="F114" s="92">
        <f t="shared" si="65"/>
        <v>1628.3973637086251</v>
      </c>
      <c r="G114" s="92">
        <f t="shared" si="65"/>
        <v>2048.274536369308</v>
      </c>
      <c r="H114" s="92">
        <f t="shared" si="65"/>
        <v>2512.8142195460605</v>
      </c>
      <c r="I114" s="92">
        <f t="shared" si="65"/>
        <v>3026.6366993129886</v>
      </c>
      <c r="J114" s="92">
        <f t="shared" si="65"/>
        <v>3594.8336157315334</v>
      </c>
      <c r="K114" s="92">
        <f t="shared" si="65"/>
        <v>4223.0156944085074</v>
      </c>
    </row>
    <row r="115" spans="1:13" x14ac:dyDescent="0.2">
      <c r="A115" s="36" t="s">
        <v>86</v>
      </c>
      <c r="B115" s="50">
        <f>SUM(B111:B114)</f>
        <v>0</v>
      </c>
      <c r="C115" s="50">
        <f>SUM(C111:C114)</f>
        <v>16134.861111111111</v>
      </c>
      <c r="D115" s="50">
        <f t="shared" ref="D115:K115" si="66">SUM(D111:D114)</f>
        <v>20512.879066779555</v>
      </c>
      <c r="E115" s="50">
        <f t="shared" si="66"/>
        <v>22620.270044337296</v>
      </c>
      <c r="F115" s="50">
        <f t="shared" si="66"/>
        <v>25006.675850991651</v>
      </c>
      <c r="G115" s="50">
        <f t="shared" si="66"/>
        <v>27628.502695384977</v>
      </c>
      <c r="H115" s="50">
        <f t="shared" si="66"/>
        <v>30511.289569598626</v>
      </c>
      <c r="I115" s="50">
        <f t="shared" si="66"/>
        <v>33680.774837279496</v>
      </c>
      <c r="J115" s="50">
        <f t="shared" si="66"/>
        <v>37165.363869055262</v>
      </c>
      <c r="K115" s="50">
        <f t="shared" si="66"/>
        <v>40996.286834579456</v>
      </c>
    </row>
    <row r="116" spans="1:13" x14ac:dyDescent="0.2">
      <c r="A116" s="35" t="s">
        <v>87</v>
      </c>
      <c r="B116" s="51"/>
      <c r="C116" s="51">
        <f>C109-C115</f>
        <v>6781.8055555555566</v>
      </c>
      <c r="D116" s="51">
        <f t="shared" ref="D116:K116" si="67">D109-D115</f>
        <v>6794.3255530452188</v>
      </c>
      <c r="E116" s="51">
        <f t="shared" si="67"/>
        <v>7434.3895952620514</v>
      </c>
      <c r="F116" s="51">
        <f t="shared" si="67"/>
        <v>8054.5487513515654</v>
      </c>
      <c r="G116" s="51">
        <f t="shared" si="67"/>
        <v>8743.6165911613607</v>
      </c>
      <c r="H116" s="51">
        <f t="shared" si="67"/>
        <v>9506.5715684182396</v>
      </c>
      <c r="I116" s="51">
        <f t="shared" si="67"/>
        <v>10351.20319591037</v>
      </c>
      <c r="J116" s="51">
        <f t="shared" si="67"/>
        <v>11285.991532399363</v>
      </c>
      <c r="K116" s="51">
        <f t="shared" si="67"/>
        <v>12320.283180966908</v>
      </c>
    </row>
    <row r="117" spans="1:13" x14ac:dyDescent="0.2">
      <c r="A117" s="19" t="s">
        <v>88</v>
      </c>
      <c r="B117" s="92">
        <f>B42</f>
        <v>1000</v>
      </c>
      <c r="C117" s="92">
        <f>C42-B42</f>
        <v>250</v>
      </c>
      <c r="D117" s="92">
        <f t="shared" ref="D117:K117" si="68">D42-C42</f>
        <v>125.00000000000023</v>
      </c>
      <c r="E117" s="92">
        <f t="shared" si="68"/>
        <v>137.50000000000023</v>
      </c>
      <c r="F117" s="92">
        <f t="shared" si="68"/>
        <v>151.25</v>
      </c>
      <c r="G117" s="92">
        <f t="shared" si="68"/>
        <v>166.37500000000045</v>
      </c>
      <c r="H117" s="92">
        <f t="shared" si="68"/>
        <v>183.01250000000027</v>
      </c>
      <c r="I117" s="92">
        <f t="shared" si="68"/>
        <v>201.31375000000025</v>
      </c>
      <c r="J117" s="92">
        <f t="shared" si="68"/>
        <v>221.44512500000019</v>
      </c>
      <c r="K117" s="92">
        <f t="shared" si="68"/>
        <v>243.58963750000066</v>
      </c>
    </row>
    <row r="118" spans="1:13" x14ac:dyDescent="0.2">
      <c r="A118" s="36" t="s">
        <v>89</v>
      </c>
      <c r="B118" s="50">
        <f>B116-B117</f>
        <v>-1000</v>
      </c>
      <c r="C118" s="50">
        <f>C116-C117</f>
        <v>6531.8055555555566</v>
      </c>
      <c r="D118" s="50">
        <f t="shared" ref="D118:K118" si="69">D116-D117</f>
        <v>6669.3255530452188</v>
      </c>
      <c r="E118" s="50">
        <f t="shared" si="69"/>
        <v>7296.8895952620514</v>
      </c>
      <c r="F118" s="50">
        <f t="shared" si="69"/>
        <v>7903.2987513515654</v>
      </c>
      <c r="G118" s="50">
        <f t="shared" si="69"/>
        <v>8577.2415911613607</v>
      </c>
      <c r="H118" s="50">
        <f t="shared" si="69"/>
        <v>9323.5590684182389</v>
      </c>
      <c r="I118" s="50">
        <f t="shared" si="69"/>
        <v>10149.889445910369</v>
      </c>
      <c r="J118" s="50">
        <f t="shared" si="69"/>
        <v>11064.546407399363</v>
      </c>
      <c r="K118" s="50">
        <f t="shared" si="69"/>
        <v>12076.693543466907</v>
      </c>
    </row>
    <row r="119" spans="1:13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3" x14ac:dyDescent="0.2">
      <c r="A120" s="31" t="s">
        <v>90</v>
      </c>
      <c r="B120" s="64"/>
      <c r="C120" s="65"/>
      <c r="D120" s="65"/>
      <c r="E120" s="65"/>
      <c r="F120" s="65"/>
      <c r="G120" s="65"/>
      <c r="H120" s="65"/>
      <c r="I120" s="65"/>
      <c r="J120" s="65"/>
      <c r="K120" s="66"/>
    </row>
    <row r="121" spans="1:13" x14ac:dyDescent="0.2">
      <c r="A121" s="19" t="s">
        <v>91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63"/>
    </row>
    <row r="122" spans="1:13" x14ac:dyDescent="0.2">
      <c r="A122" s="19" t="s">
        <v>92</v>
      </c>
      <c r="B122" s="92">
        <v>50000</v>
      </c>
      <c r="C122" s="92">
        <f>C21</f>
        <v>2500</v>
      </c>
      <c r="D122" s="92">
        <f t="shared" ref="D122:K122" si="70">D21</f>
        <v>2500</v>
      </c>
      <c r="E122" s="92">
        <f t="shared" si="70"/>
        <v>2500</v>
      </c>
      <c r="F122" s="92">
        <f t="shared" si="70"/>
        <v>2500</v>
      </c>
      <c r="G122" s="92">
        <f t="shared" si="70"/>
        <v>2500</v>
      </c>
      <c r="H122" s="92">
        <f t="shared" si="70"/>
        <v>2500</v>
      </c>
      <c r="I122" s="92">
        <f t="shared" si="70"/>
        <v>2500</v>
      </c>
      <c r="J122" s="92">
        <f t="shared" si="70"/>
        <v>2500</v>
      </c>
      <c r="K122" s="92">
        <f t="shared" si="70"/>
        <v>2500</v>
      </c>
      <c r="M122" s="2" t="s">
        <v>39</v>
      </c>
    </row>
    <row r="123" spans="1:13" x14ac:dyDescent="0.2">
      <c r="A123" s="37" t="s">
        <v>93</v>
      </c>
      <c r="B123" s="48">
        <f>B121-B122</f>
        <v>-50000</v>
      </c>
      <c r="C123" s="48">
        <f t="shared" ref="C123:K123" si="71">C121-C122</f>
        <v>-2500</v>
      </c>
      <c r="D123" s="48">
        <f t="shared" si="71"/>
        <v>-2500</v>
      </c>
      <c r="E123" s="48">
        <f t="shared" si="71"/>
        <v>-2500</v>
      </c>
      <c r="F123" s="48">
        <f t="shared" si="71"/>
        <v>-2500</v>
      </c>
      <c r="G123" s="48">
        <f t="shared" si="71"/>
        <v>-2500</v>
      </c>
      <c r="H123" s="48">
        <f t="shared" si="71"/>
        <v>-2500</v>
      </c>
      <c r="I123" s="48">
        <f t="shared" si="71"/>
        <v>-2500</v>
      </c>
      <c r="J123" s="48">
        <f t="shared" si="71"/>
        <v>-2500</v>
      </c>
      <c r="K123" s="48">
        <f t="shared" si="71"/>
        <v>-2500</v>
      </c>
    </row>
    <row r="124" spans="1:13" x14ac:dyDescent="0.2">
      <c r="A124" s="31" t="s">
        <v>94</v>
      </c>
      <c r="B124" s="67">
        <f>B118+B123</f>
        <v>-51000</v>
      </c>
      <c r="C124" s="67">
        <f t="shared" ref="C124:K124" si="72">C118+C123</f>
        <v>4031.8055555555566</v>
      </c>
      <c r="D124" s="67">
        <f t="shared" si="72"/>
        <v>4169.3255530452188</v>
      </c>
      <c r="E124" s="67">
        <f t="shared" si="72"/>
        <v>4796.8895952620514</v>
      </c>
      <c r="F124" s="67">
        <f t="shared" si="72"/>
        <v>5403.2987513515654</v>
      </c>
      <c r="G124" s="67">
        <f t="shared" si="72"/>
        <v>6077.2415911613607</v>
      </c>
      <c r="H124" s="67">
        <f t="shared" si="72"/>
        <v>6823.5590684182389</v>
      </c>
      <c r="I124" s="67">
        <f t="shared" si="72"/>
        <v>7649.8894459103685</v>
      </c>
      <c r="J124" s="67">
        <f t="shared" si="72"/>
        <v>8564.5464073993626</v>
      </c>
      <c r="K124" s="67">
        <f t="shared" si="72"/>
        <v>9576.6935434669067</v>
      </c>
    </row>
    <row r="125" spans="1:13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3" x14ac:dyDescent="0.2">
      <c r="A126" s="31" t="s">
        <v>95</v>
      </c>
      <c r="B126" s="68"/>
      <c r="C126" s="69">
        <v>1</v>
      </c>
      <c r="D126" s="69">
        <v>2</v>
      </c>
      <c r="E126" s="69">
        <v>3</v>
      </c>
      <c r="F126" s="69">
        <v>4</v>
      </c>
      <c r="G126" s="69">
        <v>5</v>
      </c>
      <c r="H126" s="69">
        <v>6</v>
      </c>
      <c r="I126" s="69">
        <v>7</v>
      </c>
      <c r="J126" s="69">
        <v>8</v>
      </c>
      <c r="K126" s="70">
        <v>9</v>
      </c>
    </row>
    <row r="127" spans="1:13" x14ac:dyDescent="0.2">
      <c r="A127" s="35" t="s">
        <v>43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62"/>
    </row>
    <row r="128" spans="1:13" x14ac:dyDescent="0.2">
      <c r="A128" s="19" t="s">
        <v>96</v>
      </c>
      <c r="B128" s="48">
        <v>20000</v>
      </c>
      <c r="C128" s="48"/>
      <c r="D128" s="48"/>
      <c r="E128" s="48"/>
      <c r="F128" s="48"/>
      <c r="G128" s="48"/>
      <c r="H128" s="48"/>
      <c r="I128" s="48"/>
      <c r="J128" s="48"/>
      <c r="K128" s="63"/>
    </row>
    <row r="129" spans="1:11" x14ac:dyDescent="0.2">
      <c r="A129" s="19" t="s">
        <v>97</v>
      </c>
      <c r="B129" s="92"/>
      <c r="C129" s="92">
        <f>PPMT(10%,C126,10,-$B$128)</f>
        <v>1254.9078976502324</v>
      </c>
      <c r="D129" s="92">
        <f t="shared" ref="D129:K129" si="73">PPMT(10%,D126,10,-$B$128)</f>
        <v>1380.3986874152556</v>
      </c>
      <c r="E129" s="92">
        <f t="shared" si="73"/>
        <v>1518.438556156781</v>
      </c>
      <c r="F129" s="92">
        <f t="shared" si="73"/>
        <v>1670.2824117724592</v>
      </c>
      <c r="G129" s="92">
        <f t="shared" si="73"/>
        <v>1837.3106529497052</v>
      </c>
      <c r="H129" s="92">
        <f t="shared" si="73"/>
        <v>2021.0417182446754</v>
      </c>
      <c r="I129" s="92">
        <f t="shared" si="73"/>
        <v>2223.1458900691432</v>
      </c>
      <c r="J129" s="92">
        <f t="shared" si="73"/>
        <v>2445.4604790760573</v>
      </c>
      <c r="K129" s="92">
        <f t="shared" si="73"/>
        <v>2690.0065269836632</v>
      </c>
    </row>
    <row r="130" spans="1:11" x14ac:dyDescent="0.2">
      <c r="A130" s="19" t="s">
        <v>98</v>
      </c>
      <c r="B130" s="48"/>
      <c r="C130" s="48">
        <f>C23</f>
        <v>2000</v>
      </c>
      <c r="D130" s="48">
        <f t="shared" ref="D130:K130" si="74">D23</f>
        <v>1874.509210234977</v>
      </c>
      <c r="E130" s="48">
        <f t="shared" si="74"/>
        <v>1736.4693414934516</v>
      </c>
      <c r="F130" s="48">
        <f t="shared" si="74"/>
        <v>1584.6254858777734</v>
      </c>
      <c r="G130" s="48">
        <f t="shared" si="74"/>
        <v>1417.5972447005274</v>
      </c>
      <c r="H130" s="48">
        <f t="shared" si="74"/>
        <v>1233.866179405557</v>
      </c>
      <c r="I130" s="48">
        <f t="shared" si="74"/>
        <v>1031.7620075810894</v>
      </c>
      <c r="J130" s="48">
        <f t="shared" si="74"/>
        <v>809.44741857417512</v>
      </c>
      <c r="K130" s="48">
        <f t="shared" si="74"/>
        <v>564.90137066656939</v>
      </c>
    </row>
    <row r="131" spans="1:11" x14ac:dyDescent="0.2">
      <c r="A131" s="36" t="s">
        <v>99</v>
      </c>
      <c r="B131" s="50">
        <f>B130+B129-B128</f>
        <v>-20000</v>
      </c>
      <c r="C131" s="50">
        <f t="shared" ref="C131:K131" si="75">C130+C129-C128</f>
        <v>3254.9078976502324</v>
      </c>
      <c r="D131" s="50">
        <f t="shared" si="75"/>
        <v>3254.9078976502324</v>
      </c>
      <c r="E131" s="50">
        <f t="shared" si="75"/>
        <v>3254.9078976502324</v>
      </c>
      <c r="F131" s="50">
        <f t="shared" si="75"/>
        <v>3254.9078976502324</v>
      </c>
      <c r="G131" s="50">
        <f t="shared" si="75"/>
        <v>3254.9078976502324</v>
      </c>
      <c r="H131" s="50">
        <f t="shared" si="75"/>
        <v>3254.9078976502324</v>
      </c>
      <c r="I131" s="50">
        <f t="shared" si="75"/>
        <v>3254.9078976502324</v>
      </c>
      <c r="J131" s="50">
        <f t="shared" si="75"/>
        <v>3254.9078976502324</v>
      </c>
      <c r="K131" s="50">
        <f t="shared" si="75"/>
        <v>3254.9078976502324</v>
      </c>
    </row>
    <row r="132" spans="1:11" x14ac:dyDescent="0.2">
      <c r="A132" s="37" t="s">
        <v>50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63"/>
    </row>
    <row r="133" spans="1:11" x14ac:dyDescent="0.2">
      <c r="A133" s="19" t="s">
        <v>100</v>
      </c>
      <c r="B133" s="48">
        <v>31000</v>
      </c>
      <c r="C133" s="48"/>
      <c r="D133" s="48"/>
      <c r="E133" s="48"/>
      <c r="F133" s="48"/>
      <c r="G133" s="48"/>
      <c r="H133" s="48"/>
      <c r="I133" s="48"/>
      <c r="J133" s="48"/>
      <c r="K133" s="63"/>
    </row>
    <row r="134" spans="1:11" x14ac:dyDescent="0.2">
      <c r="A134" s="19" t="s">
        <v>101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63"/>
    </row>
    <row r="135" spans="1:11" x14ac:dyDescent="0.2">
      <c r="A135" s="19" t="s">
        <v>102</v>
      </c>
      <c r="B135" s="48"/>
      <c r="C135" s="48"/>
      <c r="D135" s="48">
        <f>C27</f>
        <v>0</v>
      </c>
      <c r="E135" s="48">
        <f>D27</f>
        <v>1317.900227085122</v>
      </c>
      <c r="F135" s="48">
        <f t="shared" ref="F135:K135" si="76">E27</f>
        <v>1718.2399768787561</v>
      </c>
      <c r="G135" s="48">
        <f t="shared" si="76"/>
        <v>2161.2827866517532</v>
      </c>
      <c r="H135" s="48">
        <f t="shared" si="76"/>
        <v>2651.4522454520506</v>
      </c>
      <c r="I135" s="48">
        <f t="shared" si="76"/>
        <v>3193.6235516888778</v>
      </c>
      <c r="J135" s="48">
        <f t="shared" si="76"/>
        <v>3793.1692634960314</v>
      </c>
      <c r="K135" s="48">
        <f t="shared" si="76"/>
        <v>4456.0096637551842</v>
      </c>
    </row>
    <row r="136" spans="1:11" x14ac:dyDescent="0.2">
      <c r="A136" s="36" t="s">
        <v>103</v>
      </c>
      <c r="B136" s="48">
        <f>B135+B134-B133</f>
        <v>-31000</v>
      </c>
      <c r="C136" s="48">
        <f t="shared" ref="C136:K136" si="77">C135+C134-C133</f>
        <v>0</v>
      </c>
      <c r="D136" s="48">
        <f t="shared" si="77"/>
        <v>0</v>
      </c>
      <c r="E136" s="48">
        <f t="shared" si="77"/>
        <v>1317.900227085122</v>
      </c>
      <c r="F136" s="48">
        <f t="shared" si="77"/>
        <v>1718.2399768787561</v>
      </c>
      <c r="G136" s="48">
        <f t="shared" si="77"/>
        <v>2161.2827866517532</v>
      </c>
      <c r="H136" s="48">
        <f t="shared" si="77"/>
        <v>2651.4522454520506</v>
      </c>
      <c r="I136" s="48">
        <f t="shared" si="77"/>
        <v>3193.6235516888778</v>
      </c>
      <c r="J136" s="48">
        <f t="shared" si="77"/>
        <v>3793.1692634960314</v>
      </c>
      <c r="K136" s="48">
        <f t="shared" si="77"/>
        <v>4456.0096637551842</v>
      </c>
    </row>
    <row r="137" spans="1:11" x14ac:dyDescent="0.2">
      <c r="A137" s="31" t="s">
        <v>104</v>
      </c>
      <c r="B137" s="67">
        <f>B131+B136</f>
        <v>-51000</v>
      </c>
      <c r="C137" s="67">
        <f t="shared" ref="C137:K137" si="78">C131+C136</f>
        <v>3254.9078976502324</v>
      </c>
      <c r="D137" s="67">
        <f t="shared" si="78"/>
        <v>3254.9078976502324</v>
      </c>
      <c r="E137" s="67">
        <f t="shared" si="78"/>
        <v>4572.8081247353548</v>
      </c>
      <c r="F137" s="67">
        <f t="shared" si="78"/>
        <v>4973.1478745289887</v>
      </c>
      <c r="G137" s="67">
        <f t="shared" si="78"/>
        <v>5416.190684301986</v>
      </c>
      <c r="H137" s="67">
        <f t="shared" si="78"/>
        <v>5906.3601431022835</v>
      </c>
      <c r="I137" s="67">
        <f t="shared" si="78"/>
        <v>6448.5314493391106</v>
      </c>
      <c r="J137" s="67">
        <f t="shared" si="78"/>
        <v>7048.0771611462642</v>
      </c>
      <c r="K137" s="67">
        <f t="shared" si="78"/>
        <v>7710.9175614054166</v>
      </c>
    </row>
    <row r="138" spans="1:11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x14ac:dyDescent="0.2">
      <c r="A139" s="39" t="s">
        <v>105</v>
      </c>
      <c r="B139" s="51">
        <f>B124-B137</f>
        <v>0</v>
      </c>
      <c r="C139" s="51">
        <f t="shared" ref="C139:K139" si="79">C124-C137</f>
        <v>776.89765790532419</v>
      </c>
      <c r="D139" s="51">
        <f t="shared" si="79"/>
        <v>914.41765539498647</v>
      </c>
      <c r="E139" s="51">
        <f t="shared" si="79"/>
        <v>224.08147052669665</v>
      </c>
      <c r="F139" s="51">
        <f t="shared" si="79"/>
        <v>430.15087682257672</v>
      </c>
      <c r="G139" s="51">
        <f t="shared" si="79"/>
        <v>661.05090685937466</v>
      </c>
      <c r="H139" s="51">
        <f t="shared" si="79"/>
        <v>917.19892531595542</v>
      </c>
      <c r="I139" s="51">
        <f t="shared" si="79"/>
        <v>1201.3579965712579</v>
      </c>
      <c r="J139" s="51">
        <f t="shared" si="79"/>
        <v>1516.4692462530984</v>
      </c>
      <c r="K139" s="51">
        <f t="shared" si="79"/>
        <v>1865.7759820614901</v>
      </c>
    </row>
    <row r="140" spans="1:11" x14ac:dyDescent="0.2">
      <c r="A140" s="36" t="s">
        <v>106</v>
      </c>
      <c r="B140" s="71">
        <f>B139</f>
        <v>0</v>
      </c>
      <c r="C140" s="71">
        <f>B140+C139</f>
        <v>776.89765790532419</v>
      </c>
      <c r="D140" s="71">
        <f t="shared" ref="D140:K140" si="80">C140+D139</f>
        <v>1691.3153133003107</v>
      </c>
      <c r="E140" s="71">
        <f t="shared" si="80"/>
        <v>1915.3967838270073</v>
      </c>
      <c r="F140" s="71">
        <f t="shared" si="80"/>
        <v>2345.547660649584</v>
      </c>
      <c r="G140" s="71">
        <f t="shared" si="80"/>
        <v>3006.5985675089587</v>
      </c>
      <c r="H140" s="71">
        <f t="shared" si="80"/>
        <v>3923.7974928249141</v>
      </c>
      <c r="I140" s="71">
        <f t="shared" si="80"/>
        <v>5125.155489396172</v>
      </c>
      <c r="J140" s="71">
        <f t="shared" si="80"/>
        <v>6641.6247356492704</v>
      </c>
      <c r="K140" s="71">
        <f t="shared" si="80"/>
        <v>8507.4007177107596</v>
      </c>
    </row>
    <row r="141" spans="1:11" x14ac:dyDescent="0.2">
      <c r="A141" s="30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">
      <c r="A142" s="30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">
      <c r="A143" s="230" t="s">
        <v>107</v>
      </c>
      <c r="B143" s="227" t="s">
        <v>4</v>
      </c>
      <c r="C143" s="228"/>
      <c r="D143" s="228"/>
      <c r="E143" s="228"/>
      <c r="F143" s="228"/>
      <c r="G143" s="228"/>
      <c r="H143" s="228"/>
      <c r="I143" s="228"/>
      <c r="J143" s="228"/>
      <c r="K143" s="229"/>
    </row>
    <row r="144" spans="1:11" x14ac:dyDescent="0.2">
      <c r="A144" s="231"/>
      <c r="B144" s="91">
        <v>2010</v>
      </c>
      <c r="C144" s="91">
        <v>2011</v>
      </c>
      <c r="D144" s="91">
        <v>2012</v>
      </c>
      <c r="E144" s="91">
        <v>2013</v>
      </c>
      <c r="F144" s="91">
        <v>2014</v>
      </c>
      <c r="G144" s="91">
        <v>2015</v>
      </c>
      <c r="H144" s="91">
        <v>2016</v>
      </c>
      <c r="I144" s="91">
        <v>2017</v>
      </c>
      <c r="J144" s="91">
        <v>2018</v>
      </c>
      <c r="K144" s="91">
        <v>2019</v>
      </c>
    </row>
    <row r="145" spans="1:11" x14ac:dyDescent="0.2">
      <c r="A145" s="40" t="s">
        <v>108</v>
      </c>
      <c r="B145" s="80">
        <f>B118</f>
        <v>-1000</v>
      </c>
      <c r="C145" s="80">
        <f t="shared" ref="C145:K145" si="81">C118</f>
        <v>6531.8055555555566</v>
      </c>
      <c r="D145" s="80">
        <f t="shared" si="81"/>
        <v>6669.3255530452188</v>
      </c>
      <c r="E145" s="80">
        <f t="shared" si="81"/>
        <v>7296.8895952620514</v>
      </c>
      <c r="F145" s="80">
        <f t="shared" si="81"/>
        <v>7903.2987513515654</v>
      </c>
      <c r="G145" s="80">
        <f t="shared" si="81"/>
        <v>8577.2415911613607</v>
      </c>
      <c r="H145" s="80">
        <f t="shared" si="81"/>
        <v>9323.5590684182389</v>
      </c>
      <c r="I145" s="80">
        <f t="shared" si="81"/>
        <v>10149.889445910369</v>
      </c>
      <c r="J145" s="80">
        <f t="shared" si="81"/>
        <v>11064.546407399363</v>
      </c>
      <c r="K145" s="51">
        <f t="shared" si="81"/>
        <v>12076.693543466907</v>
      </c>
    </row>
    <row r="146" spans="1:11" x14ac:dyDescent="0.2">
      <c r="A146" s="41" t="s">
        <v>109</v>
      </c>
      <c r="B146" s="81">
        <f>B123</f>
        <v>-50000</v>
      </c>
      <c r="C146" s="81">
        <f t="shared" ref="C146:K146" si="82">C123</f>
        <v>-2500</v>
      </c>
      <c r="D146" s="81">
        <f t="shared" si="82"/>
        <v>-2500</v>
      </c>
      <c r="E146" s="81">
        <f t="shared" si="82"/>
        <v>-2500</v>
      </c>
      <c r="F146" s="81">
        <f t="shared" si="82"/>
        <v>-2500</v>
      </c>
      <c r="G146" s="81">
        <f t="shared" si="82"/>
        <v>-2500</v>
      </c>
      <c r="H146" s="81">
        <f t="shared" si="82"/>
        <v>-2500</v>
      </c>
      <c r="I146" s="81">
        <f t="shared" si="82"/>
        <v>-2500</v>
      </c>
      <c r="J146" s="81">
        <f t="shared" si="82"/>
        <v>-2500</v>
      </c>
      <c r="K146" s="48">
        <f t="shared" si="82"/>
        <v>-2500</v>
      </c>
    </row>
    <row r="147" spans="1:11" x14ac:dyDescent="0.2">
      <c r="A147" s="28" t="s">
        <v>110</v>
      </c>
      <c r="B147" s="82">
        <f>SUM(B145:B146)</f>
        <v>-51000</v>
      </c>
      <c r="C147" s="82">
        <f t="shared" ref="C147:K147" si="83">SUM(C145:C146)</f>
        <v>4031.8055555555566</v>
      </c>
      <c r="D147" s="82">
        <f t="shared" si="83"/>
        <v>4169.3255530452188</v>
      </c>
      <c r="E147" s="82">
        <f t="shared" si="83"/>
        <v>4796.8895952620514</v>
      </c>
      <c r="F147" s="82">
        <f t="shared" si="83"/>
        <v>5403.2987513515654</v>
      </c>
      <c r="G147" s="82">
        <f t="shared" si="83"/>
        <v>6077.2415911613607</v>
      </c>
      <c r="H147" s="82">
        <f t="shared" si="83"/>
        <v>6823.5590684182389</v>
      </c>
      <c r="I147" s="82">
        <f t="shared" si="83"/>
        <v>7649.8894459103685</v>
      </c>
      <c r="J147" s="82">
        <f t="shared" si="83"/>
        <v>8564.5464073993626</v>
      </c>
      <c r="K147" s="67">
        <f t="shared" si="83"/>
        <v>9576.6935434669067</v>
      </c>
    </row>
    <row r="148" spans="1:11" x14ac:dyDescent="0.2">
      <c r="A148" s="30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x14ac:dyDescent="0.2">
      <c r="A149" s="40" t="s">
        <v>111</v>
      </c>
      <c r="B149" s="80">
        <f>B131</f>
        <v>-20000</v>
      </c>
      <c r="C149" s="80">
        <f t="shared" ref="C149:K149" si="84">C131</f>
        <v>3254.9078976502324</v>
      </c>
      <c r="D149" s="80">
        <f t="shared" si="84"/>
        <v>3254.9078976502324</v>
      </c>
      <c r="E149" s="80">
        <f t="shared" si="84"/>
        <v>3254.9078976502324</v>
      </c>
      <c r="F149" s="80">
        <f t="shared" si="84"/>
        <v>3254.9078976502324</v>
      </c>
      <c r="G149" s="80">
        <f t="shared" si="84"/>
        <v>3254.9078976502324</v>
      </c>
      <c r="H149" s="80">
        <f t="shared" si="84"/>
        <v>3254.9078976502324</v>
      </c>
      <c r="I149" s="80">
        <f t="shared" si="84"/>
        <v>3254.9078976502324</v>
      </c>
      <c r="J149" s="80">
        <f t="shared" si="84"/>
        <v>3254.9078976502324</v>
      </c>
      <c r="K149" s="51">
        <f t="shared" si="84"/>
        <v>3254.9078976502324</v>
      </c>
    </row>
    <row r="150" spans="1:11" x14ac:dyDescent="0.2">
      <c r="A150" s="41" t="s">
        <v>112</v>
      </c>
      <c r="B150" s="81">
        <f>B136</f>
        <v>-31000</v>
      </c>
      <c r="C150" s="81">
        <f t="shared" ref="C150:K150" si="85">C136</f>
        <v>0</v>
      </c>
      <c r="D150" s="81">
        <f t="shared" si="85"/>
        <v>0</v>
      </c>
      <c r="E150" s="81">
        <f t="shared" si="85"/>
        <v>1317.900227085122</v>
      </c>
      <c r="F150" s="81">
        <f t="shared" si="85"/>
        <v>1718.2399768787561</v>
      </c>
      <c r="G150" s="81">
        <f t="shared" si="85"/>
        <v>2161.2827866517532</v>
      </c>
      <c r="H150" s="81">
        <f t="shared" si="85"/>
        <v>2651.4522454520506</v>
      </c>
      <c r="I150" s="81">
        <f t="shared" si="85"/>
        <v>3193.6235516888778</v>
      </c>
      <c r="J150" s="81">
        <f t="shared" si="85"/>
        <v>3793.1692634960314</v>
      </c>
      <c r="K150" s="48">
        <f t="shared" si="85"/>
        <v>4456.0096637551842</v>
      </c>
    </row>
    <row r="151" spans="1:11" x14ac:dyDescent="0.2">
      <c r="A151" s="28" t="s">
        <v>113</v>
      </c>
      <c r="B151" s="82">
        <f>SUM(B149:B150)</f>
        <v>-51000</v>
      </c>
      <c r="C151" s="82">
        <f t="shared" ref="C151:K151" si="86">SUM(C149:C150)</f>
        <v>3254.9078976502324</v>
      </c>
      <c r="D151" s="82">
        <f t="shared" si="86"/>
        <v>3254.9078976502324</v>
      </c>
      <c r="E151" s="82">
        <f t="shared" si="86"/>
        <v>4572.8081247353548</v>
      </c>
      <c r="F151" s="82">
        <f t="shared" si="86"/>
        <v>4973.1478745289887</v>
      </c>
      <c r="G151" s="82">
        <f t="shared" si="86"/>
        <v>5416.190684301986</v>
      </c>
      <c r="H151" s="82">
        <f t="shared" si="86"/>
        <v>5906.3601431022835</v>
      </c>
      <c r="I151" s="82">
        <f t="shared" si="86"/>
        <v>6448.5314493391106</v>
      </c>
      <c r="J151" s="82">
        <f t="shared" si="86"/>
        <v>7048.0771611462642</v>
      </c>
      <c r="K151" s="67">
        <f t="shared" si="86"/>
        <v>7710.9175614054166</v>
      </c>
    </row>
    <row r="152" spans="1:11" x14ac:dyDescent="0.2">
      <c r="A152" s="30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1:11" x14ac:dyDescent="0.2">
      <c r="A153" s="40" t="s">
        <v>114</v>
      </c>
      <c r="B153" s="80">
        <f>B147-B151</f>
        <v>0</v>
      </c>
      <c r="C153" s="80">
        <f t="shared" ref="C153:K153" si="87">C147-C151</f>
        <v>776.89765790532419</v>
      </c>
      <c r="D153" s="80">
        <f t="shared" si="87"/>
        <v>914.41765539498647</v>
      </c>
      <c r="E153" s="80">
        <f t="shared" si="87"/>
        <v>224.08147052669665</v>
      </c>
      <c r="F153" s="80">
        <f t="shared" si="87"/>
        <v>430.15087682257672</v>
      </c>
      <c r="G153" s="80">
        <f t="shared" si="87"/>
        <v>661.05090685937466</v>
      </c>
      <c r="H153" s="80">
        <f t="shared" si="87"/>
        <v>917.19892531595542</v>
      </c>
      <c r="I153" s="80">
        <f t="shared" si="87"/>
        <v>1201.3579965712579</v>
      </c>
      <c r="J153" s="80">
        <f t="shared" si="87"/>
        <v>1516.4692462530984</v>
      </c>
      <c r="K153" s="51">
        <f t="shared" si="87"/>
        <v>1865.7759820614901</v>
      </c>
    </row>
    <row r="154" spans="1:11" x14ac:dyDescent="0.2">
      <c r="A154" s="42" t="s">
        <v>115</v>
      </c>
      <c r="B154" s="83">
        <f>B153</f>
        <v>0</v>
      </c>
      <c r="C154" s="71">
        <f>B154+C153</f>
        <v>776.89765790532419</v>
      </c>
      <c r="D154" s="71">
        <f t="shared" ref="D154:K154" si="88">C154+D153</f>
        <v>1691.3153133003107</v>
      </c>
      <c r="E154" s="71">
        <f t="shared" si="88"/>
        <v>1915.3967838270073</v>
      </c>
      <c r="F154" s="71">
        <f t="shared" si="88"/>
        <v>2345.547660649584</v>
      </c>
      <c r="G154" s="71">
        <f t="shared" si="88"/>
        <v>3006.5985675089587</v>
      </c>
      <c r="H154" s="71">
        <f t="shared" si="88"/>
        <v>3923.7974928249141</v>
      </c>
      <c r="I154" s="71">
        <f t="shared" si="88"/>
        <v>5125.155489396172</v>
      </c>
      <c r="J154" s="71">
        <f t="shared" si="88"/>
        <v>6641.6247356492704</v>
      </c>
      <c r="K154" s="71">
        <f t="shared" si="88"/>
        <v>8507.4007177107596</v>
      </c>
    </row>
    <row r="155" spans="1:11" x14ac:dyDescent="0.2">
      <c r="A155" s="30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">
      <c r="A156" s="30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">
      <c r="A157" s="225" t="s">
        <v>169</v>
      </c>
      <c r="B157" s="227" t="s">
        <v>4</v>
      </c>
      <c r="C157" s="228"/>
      <c r="D157" s="228"/>
      <c r="E157" s="228"/>
      <c r="F157" s="228"/>
      <c r="G157" s="228"/>
      <c r="H157" s="228"/>
      <c r="I157" s="228"/>
      <c r="J157" s="228"/>
      <c r="K157" s="229"/>
    </row>
    <row r="158" spans="1:11" x14ac:dyDescent="0.2">
      <c r="A158" s="226"/>
      <c r="B158" s="91">
        <v>2010</v>
      </c>
      <c r="C158" s="91">
        <v>2011</v>
      </c>
      <c r="D158" s="91">
        <v>2012</v>
      </c>
      <c r="E158" s="91">
        <v>2013</v>
      </c>
      <c r="F158" s="91">
        <v>2014</v>
      </c>
      <c r="G158" s="91">
        <v>2015</v>
      </c>
      <c r="H158" s="91">
        <v>2016</v>
      </c>
      <c r="I158" s="91">
        <v>2017</v>
      </c>
      <c r="J158" s="91">
        <v>2018</v>
      </c>
      <c r="K158" s="91">
        <v>2019</v>
      </c>
    </row>
    <row r="159" spans="1:11" x14ac:dyDescent="0.2">
      <c r="A159" s="43" t="s">
        <v>113</v>
      </c>
      <c r="B159" s="67">
        <f>B151</f>
        <v>-51000</v>
      </c>
      <c r="C159" s="67">
        <f t="shared" ref="C159:K159" si="89">C151</f>
        <v>3254.9078976502324</v>
      </c>
      <c r="D159" s="67">
        <f t="shared" si="89"/>
        <v>3254.9078976502324</v>
      </c>
      <c r="E159" s="67">
        <f t="shared" si="89"/>
        <v>4572.8081247353548</v>
      </c>
      <c r="F159" s="67">
        <f t="shared" si="89"/>
        <v>4973.1478745289887</v>
      </c>
      <c r="G159" s="67">
        <f t="shared" si="89"/>
        <v>5416.190684301986</v>
      </c>
      <c r="H159" s="67">
        <f t="shared" si="89"/>
        <v>5906.3601431022835</v>
      </c>
      <c r="I159" s="67">
        <f t="shared" si="89"/>
        <v>6448.5314493391106</v>
      </c>
      <c r="J159" s="67">
        <f t="shared" si="89"/>
        <v>7048.0771611462642</v>
      </c>
      <c r="K159" s="67">
        <f t="shared" si="89"/>
        <v>7710.9175614054166</v>
      </c>
    </row>
    <row r="161" spans="1:11" x14ac:dyDescent="0.2">
      <c r="A161" s="18" t="s">
        <v>117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44"/>
    </row>
    <row r="162" spans="1:11" x14ac:dyDescent="0.2">
      <c r="A162" s="20" t="s">
        <v>118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5"/>
    </row>
    <row r="163" spans="1:11" x14ac:dyDescent="0.2">
      <c r="A163" s="20" t="s">
        <v>119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45"/>
    </row>
    <row r="164" spans="1:11" x14ac:dyDescent="0.2">
      <c r="A164" s="20" t="s">
        <v>120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45"/>
    </row>
    <row r="165" spans="1:11" x14ac:dyDescent="0.2">
      <c r="A165" s="23" t="s">
        <v>121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46"/>
    </row>
    <row r="166" spans="1:11" x14ac:dyDescent="0.2">
      <c r="A166" s="30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">
      <c r="A167" s="18" t="s">
        <v>122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9"/>
    </row>
    <row r="168" spans="1:11" x14ac:dyDescent="0.2">
      <c r="A168" s="20" t="s">
        <v>123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7"/>
    </row>
    <row r="169" spans="1:11" x14ac:dyDescent="0.2">
      <c r="A169" s="23" t="s">
        <v>124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8"/>
    </row>
    <row r="170" spans="1:11" x14ac:dyDescent="0.2">
      <c r="A170" s="30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">
      <c r="A171" s="47" t="s">
        <v>125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1:11" x14ac:dyDescent="0.2">
      <c r="A172" s="30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">
      <c r="A173" s="23" t="s">
        <v>126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"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hidden="1" x14ac:dyDescent="0.2"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1.25" hidden="1" customHeight="1" x14ac:dyDescent="0.2">
      <c r="A176" s="242" t="s">
        <v>116</v>
      </c>
      <c r="B176" s="234" t="s">
        <v>4</v>
      </c>
      <c r="C176" s="235"/>
      <c r="D176" s="235"/>
      <c r="E176" s="235"/>
      <c r="F176" s="235"/>
      <c r="G176" s="235"/>
      <c r="H176" s="235"/>
      <c r="I176" s="235"/>
      <c r="J176" s="235"/>
      <c r="K176" s="236"/>
    </row>
    <row r="177" spans="1:13" hidden="1" x14ac:dyDescent="0.2">
      <c r="A177" s="243"/>
      <c r="B177" s="16">
        <v>2007</v>
      </c>
      <c r="C177" s="16">
        <v>2008</v>
      </c>
      <c r="D177" s="16">
        <v>2009</v>
      </c>
      <c r="E177" s="16"/>
      <c r="F177" s="16"/>
      <c r="G177" s="16"/>
      <c r="H177" s="16"/>
      <c r="I177" s="16"/>
      <c r="J177" s="16">
        <v>2010</v>
      </c>
      <c r="K177" s="16">
        <v>2011</v>
      </c>
    </row>
    <row r="178" spans="1:13" hidden="1" x14ac:dyDescent="0.2">
      <c r="A178" s="18" t="s">
        <v>127</v>
      </c>
      <c r="B178" s="9">
        <f>B26</f>
        <v>0</v>
      </c>
      <c r="C178" s="9">
        <f>C26</f>
        <v>1593.75</v>
      </c>
      <c r="D178" s="9">
        <f>D26</f>
        <v>2196.5003784752034</v>
      </c>
      <c r="E178" s="9"/>
      <c r="F178" s="9"/>
      <c r="G178" s="9"/>
      <c r="H178" s="9"/>
      <c r="I178" s="9"/>
      <c r="J178" s="9">
        <f>J26</f>
        <v>7426.6827729253073</v>
      </c>
      <c r="K178" s="9">
        <f>K26</f>
        <v>8647.780340064317</v>
      </c>
    </row>
    <row r="179" spans="1:13" hidden="1" x14ac:dyDescent="0.2">
      <c r="A179" s="20" t="s">
        <v>128</v>
      </c>
      <c r="B179" s="5">
        <f>B21</f>
        <v>0</v>
      </c>
      <c r="C179" s="5">
        <f>C21</f>
        <v>2500</v>
      </c>
      <c r="D179" s="5">
        <f>D21</f>
        <v>2500</v>
      </c>
      <c r="E179" s="5"/>
      <c r="F179" s="5"/>
      <c r="G179" s="5"/>
      <c r="H179" s="5"/>
      <c r="I179" s="5"/>
      <c r="J179" s="5">
        <f>J21</f>
        <v>2500</v>
      </c>
      <c r="K179" s="5">
        <f>K21</f>
        <v>2500</v>
      </c>
    </row>
    <row r="180" spans="1:13" hidden="1" x14ac:dyDescent="0.2">
      <c r="A180" s="20" t="s">
        <v>129</v>
      </c>
      <c r="B180" s="5">
        <f>B23</f>
        <v>0</v>
      </c>
      <c r="C180" s="5">
        <f>C23</f>
        <v>2000</v>
      </c>
      <c r="D180" s="5">
        <f>D23</f>
        <v>1874.509210234977</v>
      </c>
      <c r="E180" s="5"/>
      <c r="F180" s="5"/>
      <c r="G180" s="5"/>
      <c r="H180" s="5"/>
      <c r="I180" s="5"/>
      <c r="J180" s="5">
        <f>J23</f>
        <v>809.44741857417512</v>
      </c>
      <c r="K180" s="5">
        <f>K23</f>
        <v>564.90137066656939</v>
      </c>
    </row>
    <row r="181" spans="1:13" hidden="1" x14ac:dyDescent="0.2">
      <c r="A181" s="20" t="s">
        <v>130</v>
      </c>
      <c r="B181" s="5" t="e">
        <f>#REF!-B72</f>
        <v>#REF!</v>
      </c>
      <c r="C181" s="5">
        <f>B72-C72</f>
        <v>-776.89765790532419</v>
      </c>
      <c r="D181" s="5">
        <f>C72-D72</f>
        <v>-914.41765539498647</v>
      </c>
      <c r="E181" s="5"/>
      <c r="F181" s="5"/>
      <c r="G181" s="5"/>
      <c r="H181" s="5"/>
      <c r="I181" s="5"/>
      <c r="J181" s="5">
        <f>D72-J72</f>
        <v>-4950.3094223489597</v>
      </c>
      <c r="K181" s="5">
        <f>J72-K72</f>
        <v>-1865.7759820614892</v>
      </c>
    </row>
    <row r="182" spans="1:13" hidden="1" x14ac:dyDescent="0.2">
      <c r="A182" s="20" t="s">
        <v>131</v>
      </c>
      <c r="B182" s="5" t="e">
        <f>#REF!-B73</f>
        <v>#REF!</v>
      </c>
      <c r="C182" s="5">
        <f>B73-C73</f>
        <v>438.05555555555566</v>
      </c>
      <c r="D182" s="5">
        <f>C73-D73</f>
        <v>98.315964335042736</v>
      </c>
      <c r="E182" s="5"/>
      <c r="F182" s="5"/>
      <c r="G182" s="5"/>
      <c r="H182" s="5"/>
      <c r="I182" s="5"/>
      <c r="J182" s="5">
        <f>D73-J73</f>
        <v>1545.3613686659446</v>
      </c>
      <c r="K182" s="5">
        <f>J73-K73</f>
        <v>364.01183273601509</v>
      </c>
    </row>
    <row r="183" spans="1:13" hidden="1" x14ac:dyDescent="0.2">
      <c r="A183" s="20" t="s">
        <v>132</v>
      </c>
      <c r="B183" s="7" t="e">
        <f>#REF!-B47</f>
        <v>#REF!</v>
      </c>
      <c r="C183" s="7">
        <f>B47-C47</f>
        <v>-2500</v>
      </c>
      <c r="D183" s="7">
        <f>C47-D47</f>
        <v>-2500</v>
      </c>
      <c r="E183" s="7"/>
      <c r="F183" s="7"/>
      <c r="G183" s="7"/>
      <c r="H183" s="7"/>
      <c r="I183" s="7"/>
      <c r="J183" s="7">
        <f>D47-J47</f>
        <v>-15000</v>
      </c>
      <c r="K183" s="7">
        <f>J47-K47</f>
        <v>-2500</v>
      </c>
    </row>
    <row r="184" spans="1:13" hidden="1" x14ac:dyDescent="0.2">
      <c r="A184" s="23" t="s">
        <v>133</v>
      </c>
      <c r="B184" s="38" t="e">
        <f>SUM(B178:B183)</f>
        <v>#REF!</v>
      </c>
      <c r="C184" s="38">
        <f>SUM(C178:C183)</f>
        <v>3254.9078976502315</v>
      </c>
      <c r="D184" s="38">
        <f>SUM(D178:D183)</f>
        <v>3254.9078976502369</v>
      </c>
      <c r="E184" s="38"/>
      <c r="F184" s="38"/>
      <c r="G184" s="38"/>
      <c r="H184" s="38"/>
      <c r="I184" s="38"/>
      <c r="J184" s="38">
        <f>SUM(J178:J183)</f>
        <v>-7668.8178621835332</v>
      </c>
      <c r="K184" s="38">
        <f>SUM(K178:K183)</f>
        <v>7710.9175614054111</v>
      </c>
      <c r="M184" s="11"/>
    </row>
    <row r="185" spans="1:13" hidden="1" x14ac:dyDescent="0.2"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3" hidden="1" x14ac:dyDescent="0.2">
      <c r="A186" s="18" t="s">
        <v>117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44">
        <v>8.9499999999999996E-2</v>
      </c>
    </row>
    <row r="187" spans="1:13" hidden="1" x14ac:dyDescent="0.2">
      <c r="A187" s="20" t="s">
        <v>118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5">
        <v>0.8</v>
      </c>
    </row>
    <row r="188" spans="1:13" hidden="1" x14ac:dyDescent="0.2">
      <c r="A188" s="20" t="s">
        <v>119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45">
        <v>0.1201</v>
      </c>
    </row>
    <row r="189" spans="1:13" hidden="1" x14ac:dyDescent="0.2">
      <c r="A189" s="20" t="s">
        <v>120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45">
        <v>4.58E-2</v>
      </c>
    </row>
    <row r="190" spans="1:13" hidden="1" x14ac:dyDescent="0.2">
      <c r="A190" s="23" t="s">
        <v>121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46">
        <f>K186+K187*(K188-K189)</f>
        <v>0.14894000000000002</v>
      </c>
    </row>
    <row r="191" spans="1:13" hidden="1" x14ac:dyDescent="0.2"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3" hidden="1" x14ac:dyDescent="0.2">
      <c r="A192" s="18" t="s">
        <v>122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9">
        <f>K22*(1-36.25%)</f>
        <v>9007.9049638642537</v>
      </c>
    </row>
    <row r="193" spans="1:11" hidden="1" x14ac:dyDescent="0.2">
      <c r="A193" s="20" t="s">
        <v>123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7">
        <f>K192*(1-K190)</f>
        <v>7666.2675985463111</v>
      </c>
    </row>
    <row r="194" spans="1:11" hidden="1" x14ac:dyDescent="0.2">
      <c r="A194" s="23" t="s">
        <v>124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8">
        <f>K193/K190</f>
        <v>51472.187448276556</v>
      </c>
    </row>
    <row r="195" spans="1:11" hidden="1" x14ac:dyDescent="0.2"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hidden="1" x14ac:dyDescent="0.2">
      <c r="A196" s="23" t="s">
        <v>134</v>
      </c>
      <c r="B196" s="38" t="e">
        <f>B184</f>
        <v>#REF!</v>
      </c>
      <c r="C196" s="38">
        <f>C184</f>
        <v>3254.9078976502315</v>
      </c>
      <c r="D196" s="38">
        <f>D184</f>
        <v>3254.9078976502369</v>
      </c>
      <c r="E196" s="38"/>
      <c r="F196" s="38"/>
      <c r="G196" s="38"/>
      <c r="H196" s="38"/>
      <c r="I196" s="38"/>
      <c r="J196" s="38">
        <f>J184</f>
        <v>-7668.8178621835332</v>
      </c>
      <c r="K196" s="38">
        <f>K184+K194</f>
        <v>59183.105009681967</v>
      </c>
    </row>
    <row r="197" spans="1:11" hidden="1" x14ac:dyDescent="0.2"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hidden="1" x14ac:dyDescent="0.2">
      <c r="A198" s="23" t="s">
        <v>126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hidden="1" x14ac:dyDescent="0.2"/>
  </sheetData>
  <mergeCells count="14">
    <mergeCell ref="A176:A177"/>
    <mergeCell ref="B176:K176"/>
    <mergeCell ref="A103:A104"/>
    <mergeCell ref="B103:K103"/>
    <mergeCell ref="A143:A144"/>
    <mergeCell ref="B143:K143"/>
    <mergeCell ref="A157:A158"/>
    <mergeCell ref="B157:K157"/>
    <mergeCell ref="A8:A9"/>
    <mergeCell ref="B8:K8"/>
    <mergeCell ref="A39:A40"/>
    <mergeCell ref="B39:K39"/>
    <mergeCell ref="A70:A71"/>
    <mergeCell ref="B70:K70"/>
  </mergeCells>
  <printOptions headings="1"/>
  <pageMargins left="0.74803149606299213" right="0.74803149606299213" top="0.98425196850393704" bottom="0.98425196850393704" header="0" footer="0"/>
  <pageSetup paperSize="9" scale="71" orientation="portrait" r:id="rId1"/>
  <headerFooter alignWithMargins="0"/>
  <rowBreaks count="1" manualBreakCount="1">
    <brk id="87" max="16383" man="1"/>
  </rowBreaks>
  <colBreaks count="1" manualBreakCount="1">
    <brk id="11" max="1048575" man="1"/>
  </colBreaks>
  <ignoredErrors>
    <ignoredError sqref="C12:K15 C28:K28 C18:K22" formulaRange="1"/>
    <ignoredError sqref="C23:K2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zoomScaleNormal="100" workbookViewId="0">
      <selection activeCell="B42" sqref="B42"/>
    </sheetView>
  </sheetViews>
  <sheetFormatPr baseColWidth="10" defaultColWidth="11.42578125" defaultRowHeight="11.25" x14ac:dyDescent="0.2"/>
  <cols>
    <col min="1" max="1" width="28.5703125" style="2" bestFit="1" customWidth="1"/>
    <col min="2" max="11" width="9" style="2" customWidth="1"/>
    <col min="12" max="12" width="2.7109375" style="2" customWidth="1"/>
    <col min="13" max="13" width="30.7109375" style="2" bestFit="1" customWidth="1"/>
    <col min="14" max="14" width="9" style="2" customWidth="1"/>
    <col min="15" max="16384" width="11.42578125" style="2"/>
  </cols>
  <sheetData>
    <row r="1" spans="1:13" x14ac:dyDescent="0.2">
      <c r="A1" s="1" t="s">
        <v>0</v>
      </c>
    </row>
    <row r="3" spans="1:13" x14ac:dyDescent="0.2">
      <c r="A3" s="2" t="s">
        <v>1</v>
      </c>
      <c r="B3" s="78"/>
      <c r="C3" s="78">
        <v>0.1</v>
      </c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</row>
    <row r="4" spans="1:13" x14ac:dyDescent="0.2">
      <c r="A4" s="2" t="s">
        <v>2</v>
      </c>
      <c r="B4" s="79">
        <v>0.4</v>
      </c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</row>
    <row r="5" spans="1:13" x14ac:dyDescent="0.2">
      <c r="A5" s="2" t="s">
        <v>135</v>
      </c>
      <c r="B5" s="79"/>
      <c r="C5" s="79">
        <v>0.05</v>
      </c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</row>
    <row r="6" spans="1:13" x14ac:dyDescent="0.2">
      <c r="A6" s="2" t="s">
        <v>136</v>
      </c>
      <c r="B6" s="79"/>
      <c r="C6" s="79">
        <v>0.08</v>
      </c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</row>
    <row r="7" spans="1:13" x14ac:dyDescent="0.2">
      <c r="C7" s="60"/>
      <c r="D7" s="60"/>
    </row>
    <row r="8" spans="1:13" x14ac:dyDescent="0.2">
      <c r="A8" s="232" t="s">
        <v>3</v>
      </c>
      <c r="B8" s="96"/>
      <c r="C8" s="97"/>
      <c r="D8" s="97"/>
      <c r="E8" s="97"/>
      <c r="F8" s="238" t="s">
        <v>4</v>
      </c>
      <c r="G8" s="238"/>
      <c r="H8" s="97"/>
      <c r="I8" s="97"/>
      <c r="J8" s="97"/>
      <c r="K8" s="98"/>
    </row>
    <row r="9" spans="1:13" x14ac:dyDescent="0.2">
      <c r="A9" s="233"/>
      <c r="B9" s="3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M9" s="1" t="s">
        <v>5</v>
      </c>
    </row>
    <row r="10" spans="1:13" ht="11.25" customHeight="1" x14ac:dyDescent="0.2">
      <c r="A10" s="89" t="s">
        <v>6</v>
      </c>
      <c r="B10" s="99">
        <v>25000</v>
      </c>
      <c r="C10" s="99">
        <f>B10*(1+C3)</f>
        <v>27500.000000000004</v>
      </c>
      <c r="D10" s="99">
        <f t="shared" ref="D10:K10" si="0">C10*(1+D3)</f>
        <v>30250.000000000007</v>
      </c>
      <c r="E10" s="99">
        <f t="shared" si="0"/>
        <v>33275.000000000007</v>
      </c>
      <c r="F10" s="99">
        <f t="shared" si="0"/>
        <v>36602.500000000015</v>
      </c>
      <c r="G10" s="99">
        <f t="shared" si="0"/>
        <v>40262.750000000022</v>
      </c>
      <c r="H10" s="99">
        <f t="shared" si="0"/>
        <v>44289.025000000031</v>
      </c>
      <c r="I10" s="99">
        <f t="shared" si="0"/>
        <v>48717.927500000034</v>
      </c>
      <c r="J10" s="99">
        <f t="shared" si="0"/>
        <v>53589.720250000042</v>
      </c>
      <c r="K10" s="99">
        <f t="shared" si="0"/>
        <v>58948.692275000052</v>
      </c>
      <c r="M10" s="2" t="s">
        <v>151</v>
      </c>
    </row>
    <row r="11" spans="1:13" ht="11.25" customHeight="1" x14ac:dyDescent="0.2">
      <c r="A11" s="4" t="s">
        <v>82</v>
      </c>
      <c r="B11" s="95"/>
      <c r="C11" s="95">
        <f>B41*2%</f>
        <v>135.63611111111109</v>
      </c>
      <c r="D11" s="95">
        <f t="shared" ref="D11:K11" si="1">C41*2%</f>
        <v>97.109618920668126</v>
      </c>
      <c r="E11" s="95">
        <f t="shared" si="1"/>
        <v>98.917842002230088</v>
      </c>
      <c r="F11" s="95">
        <f t="shared" si="1"/>
        <v>104.93272532303439</v>
      </c>
      <c r="G11" s="95">
        <f t="shared" si="1"/>
        <v>115.50809869956184</v>
      </c>
      <c r="H11" s="95">
        <f t="shared" si="1"/>
        <v>131.14974225717381</v>
      </c>
      <c r="I11" s="95">
        <f t="shared" si="1"/>
        <v>152.41223908408068</v>
      </c>
      <c r="J11" s="95">
        <f t="shared" si="1"/>
        <v>179.9083992366231</v>
      </c>
      <c r="K11" s="95">
        <f t="shared" si="1"/>
        <v>214.3152762655032</v>
      </c>
      <c r="M11" s="2" t="s">
        <v>150</v>
      </c>
    </row>
    <row r="12" spans="1:13" ht="11.25" customHeight="1" x14ac:dyDescent="0.2">
      <c r="A12" s="6" t="s">
        <v>149</v>
      </c>
      <c r="B12" s="95">
        <f>SUM(B10:B11)</f>
        <v>25000</v>
      </c>
      <c r="C12" s="95">
        <f t="shared" ref="C12:K12" si="2">SUM(C10:C11)</f>
        <v>27635.636111111115</v>
      </c>
      <c r="D12" s="95">
        <f t="shared" si="2"/>
        <v>30347.109618920676</v>
      </c>
      <c r="E12" s="95">
        <f t="shared" si="2"/>
        <v>33373.917842002236</v>
      </c>
      <c r="F12" s="95">
        <f t="shared" si="2"/>
        <v>36707.432725323051</v>
      </c>
      <c r="G12" s="95">
        <f t="shared" si="2"/>
        <v>40378.258098699582</v>
      </c>
      <c r="H12" s="95">
        <f t="shared" si="2"/>
        <v>44420.174742257208</v>
      </c>
      <c r="I12" s="95">
        <f t="shared" si="2"/>
        <v>48870.339739084113</v>
      </c>
      <c r="J12" s="95">
        <f t="shared" si="2"/>
        <v>53769.628649236663</v>
      </c>
      <c r="K12" s="95">
        <f t="shared" si="2"/>
        <v>59163.007551265553</v>
      </c>
    </row>
    <row r="13" spans="1:13" ht="11.25" customHeight="1" x14ac:dyDescent="0.2">
      <c r="A13" s="4" t="s">
        <v>7</v>
      </c>
      <c r="B13" s="102">
        <v>0</v>
      </c>
      <c r="C13" s="102">
        <f>B15</f>
        <v>625</v>
      </c>
      <c r="D13" s="102">
        <f t="shared" ref="D13:K13" si="3">C15</f>
        <v>693.1515046296297</v>
      </c>
      <c r="E13" s="102">
        <f t="shared" si="3"/>
        <v>760.29623412169474</v>
      </c>
      <c r="F13" s="102">
        <f t="shared" si="3"/>
        <v>835.99657675009303</v>
      </c>
      <c r="G13" s="102">
        <f t="shared" si="3"/>
        <v>919.43469688846017</v>
      </c>
      <c r="H13" s="102">
        <f t="shared" si="3"/>
        <v>1011.3815874458155</v>
      </c>
      <c r="I13" s="102">
        <f t="shared" si="3"/>
        <v>1112.69019759405</v>
      </c>
      <c r="J13" s="102">
        <f t="shared" si="3"/>
        <v>1224.2986974618375</v>
      </c>
      <c r="K13" s="102">
        <f t="shared" si="3"/>
        <v>1347.2391895515268</v>
      </c>
      <c r="M13" s="2" t="s">
        <v>8</v>
      </c>
    </row>
    <row r="14" spans="1:13" ht="11.25" customHeight="1" x14ac:dyDescent="0.2">
      <c r="A14" s="4" t="s">
        <v>9</v>
      </c>
      <c r="B14" s="95">
        <f>B16+B15-B13</f>
        <v>15625</v>
      </c>
      <c r="C14" s="95">
        <f>C16+C15-C13</f>
        <v>16703.787615740741</v>
      </c>
      <c r="D14" s="95">
        <f t="shared" ref="D14:K14" si="4">D16+D15-D13</f>
        <v>18314.254348412738</v>
      </c>
      <c r="E14" s="95">
        <f t="shared" si="4"/>
        <v>20139.618184630632</v>
      </c>
      <c r="F14" s="95">
        <f t="shared" si="4"/>
        <v>22149.87084546141</v>
      </c>
      <c r="G14" s="95">
        <f t="shared" si="4"/>
        <v>24365.104989256928</v>
      </c>
      <c r="H14" s="95">
        <f t="shared" si="4"/>
        <v>26805.87335240543</v>
      </c>
      <c r="I14" s="95">
        <f t="shared" si="4"/>
        <v>29494.777238951887</v>
      </c>
      <c r="J14" s="95">
        <f t="shared" si="4"/>
        <v>32456.681041326334</v>
      </c>
      <c r="K14" s="95">
        <f t="shared" si="4"/>
        <v>35718.938561766736</v>
      </c>
      <c r="M14" s="2" t="s">
        <v>10</v>
      </c>
    </row>
    <row r="15" spans="1:13" ht="11.25" customHeight="1" x14ac:dyDescent="0.2">
      <c r="A15" s="4" t="s">
        <v>11</v>
      </c>
      <c r="B15" s="49">
        <f>B43</f>
        <v>625</v>
      </c>
      <c r="C15" s="49">
        <f>C43</f>
        <v>693.1515046296297</v>
      </c>
      <c r="D15" s="49">
        <f t="shared" ref="D15:K15" si="5">D43</f>
        <v>760.29623412169474</v>
      </c>
      <c r="E15" s="49">
        <f t="shared" si="5"/>
        <v>835.99657675009303</v>
      </c>
      <c r="F15" s="49">
        <f t="shared" si="5"/>
        <v>919.43469688846017</v>
      </c>
      <c r="G15" s="49">
        <f t="shared" si="5"/>
        <v>1011.3815874458155</v>
      </c>
      <c r="H15" s="49">
        <f t="shared" si="5"/>
        <v>1112.69019759405</v>
      </c>
      <c r="I15" s="49">
        <f t="shared" si="5"/>
        <v>1224.2986974618375</v>
      </c>
      <c r="J15" s="49">
        <f t="shared" si="5"/>
        <v>1347.2391895515268</v>
      </c>
      <c r="K15" s="49">
        <f t="shared" si="5"/>
        <v>1482.6471100527306</v>
      </c>
      <c r="M15" s="2" t="s">
        <v>137</v>
      </c>
    </row>
    <row r="16" spans="1:13" ht="11.25" customHeight="1" x14ac:dyDescent="0.2">
      <c r="A16" s="6" t="s">
        <v>12</v>
      </c>
      <c r="B16" s="100">
        <f>B12-B17</f>
        <v>15000</v>
      </c>
      <c r="C16" s="100">
        <f>C12-C17</f>
        <v>16635.636111111111</v>
      </c>
      <c r="D16" s="100">
        <f t="shared" ref="D16:K16" si="6">D12-D17</f>
        <v>18247.109618920673</v>
      </c>
      <c r="E16" s="100">
        <f t="shared" si="6"/>
        <v>20063.917842002233</v>
      </c>
      <c r="F16" s="100">
        <f t="shared" si="6"/>
        <v>22066.432725323044</v>
      </c>
      <c r="G16" s="100">
        <f t="shared" si="6"/>
        <v>24273.158098699572</v>
      </c>
      <c r="H16" s="100">
        <f t="shared" si="6"/>
        <v>26704.564742257196</v>
      </c>
      <c r="I16" s="100">
        <f t="shared" si="6"/>
        <v>29383.1687390841</v>
      </c>
      <c r="J16" s="100">
        <f t="shared" si="6"/>
        <v>32333.740549236645</v>
      </c>
      <c r="K16" s="100">
        <f t="shared" si="6"/>
        <v>35583.530641265534</v>
      </c>
    </row>
    <row r="17" spans="1:13" ht="11.25" customHeight="1" x14ac:dyDescent="0.2">
      <c r="A17" s="8" t="s">
        <v>13</v>
      </c>
      <c r="B17" s="99">
        <f>B10*B4</f>
        <v>10000</v>
      </c>
      <c r="C17" s="99">
        <f>C10*C4</f>
        <v>11000.000000000002</v>
      </c>
      <c r="D17" s="99">
        <f t="shared" ref="D17:K17" si="7">D10*D4</f>
        <v>12100.000000000004</v>
      </c>
      <c r="E17" s="99">
        <f t="shared" si="7"/>
        <v>13310.000000000004</v>
      </c>
      <c r="F17" s="99">
        <f t="shared" si="7"/>
        <v>14641.000000000007</v>
      </c>
      <c r="G17" s="99">
        <f t="shared" si="7"/>
        <v>16105.100000000009</v>
      </c>
      <c r="H17" s="99">
        <f t="shared" si="7"/>
        <v>17715.610000000011</v>
      </c>
      <c r="I17" s="99">
        <f t="shared" si="7"/>
        <v>19487.171000000013</v>
      </c>
      <c r="J17" s="99">
        <f t="shared" si="7"/>
        <v>21435.888100000018</v>
      </c>
      <c r="K17" s="99">
        <f t="shared" si="7"/>
        <v>23579.476910000023</v>
      </c>
      <c r="M17" s="2" t="s">
        <v>155</v>
      </c>
    </row>
    <row r="18" spans="1:13" ht="11.25" customHeight="1" x14ac:dyDescent="0.2">
      <c r="A18" s="4" t="s">
        <v>14</v>
      </c>
      <c r="B18" s="49">
        <v>2000</v>
      </c>
      <c r="C18" s="49">
        <f>B18*(1+C5)</f>
        <v>2100</v>
      </c>
      <c r="D18" s="49">
        <f t="shared" ref="D18:K18" si="8">C18*(1+D5)</f>
        <v>2205</v>
      </c>
      <c r="E18" s="49">
        <f t="shared" si="8"/>
        <v>2315.25</v>
      </c>
      <c r="F18" s="49">
        <f t="shared" si="8"/>
        <v>2431.0125000000003</v>
      </c>
      <c r="G18" s="49">
        <f t="shared" si="8"/>
        <v>2552.5631250000006</v>
      </c>
      <c r="H18" s="49">
        <f t="shared" si="8"/>
        <v>2680.1912812500009</v>
      </c>
      <c r="I18" s="49">
        <f t="shared" si="8"/>
        <v>2814.2008453125009</v>
      </c>
      <c r="J18" s="49">
        <f t="shared" si="8"/>
        <v>2954.9108875781262</v>
      </c>
      <c r="K18" s="49">
        <f t="shared" si="8"/>
        <v>3102.6564319570325</v>
      </c>
      <c r="M18" s="2" t="s">
        <v>156</v>
      </c>
    </row>
    <row r="19" spans="1:13" ht="11.25" customHeight="1" x14ac:dyDescent="0.2">
      <c r="A19" s="10" t="s">
        <v>15</v>
      </c>
      <c r="B19" s="100">
        <v>1000</v>
      </c>
      <c r="C19" s="100">
        <f>B19*(1+C6)</f>
        <v>1080</v>
      </c>
      <c r="D19" s="100">
        <f t="shared" ref="D19:K19" si="9">C19*(1+D6)</f>
        <v>1166.4000000000001</v>
      </c>
      <c r="E19" s="100">
        <f t="shared" si="9"/>
        <v>1259.7120000000002</v>
      </c>
      <c r="F19" s="100">
        <f t="shared" si="9"/>
        <v>1360.4889600000004</v>
      </c>
      <c r="G19" s="100">
        <f t="shared" si="9"/>
        <v>1469.3280768000004</v>
      </c>
      <c r="H19" s="100">
        <f t="shared" si="9"/>
        <v>1586.8743229440006</v>
      </c>
      <c r="I19" s="100">
        <f t="shared" si="9"/>
        <v>1713.8242687795207</v>
      </c>
      <c r="J19" s="100">
        <f t="shared" si="9"/>
        <v>1850.9302102818824</v>
      </c>
      <c r="K19" s="100">
        <f t="shared" si="9"/>
        <v>1999.0046271044332</v>
      </c>
      <c r="M19" s="2" t="s">
        <v>157</v>
      </c>
    </row>
    <row r="20" spans="1:13" ht="11.25" customHeight="1" x14ac:dyDescent="0.2">
      <c r="A20" s="8" t="s">
        <v>16</v>
      </c>
      <c r="B20" s="95">
        <f>B17-B18-B19</f>
        <v>7000</v>
      </c>
      <c r="C20" s="95">
        <f>C17-C18-C19</f>
        <v>7820.0000000000018</v>
      </c>
      <c r="D20" s="95">
        <f t="shared" ref="D20:K20" si="10">D17-D18-D19</f>
        <v>8728.600000000004</v>
      </c>
      <c r="E20" s="95">
        <f t="shared" si="10"/>
        <v>9735.0380000000041</v>
      </c>
      <c r="F20" s="95">
        <f t="shared" si="10"/>
        <v>10849.498540000006</v>
      </c>
      <c r="G20" s="95">
        <f t="shared" si="10"/>
        <v>12083.208798200008</v>
      </c>
      <c r="H20" s="95">
        <f t="shared" si="10"/>
        <v>13448.54439580601</v>
      </c>
      <c r="I20" s="95">
        <f t="shared" si="10"/>
        <v>14959.14588590799</v>
      </c>
      <c r="J20" s="95">
        <f t="shared" si="10"/>
        <v>16630.047002140007</v>
      </c>
      <c r="K20" s="95">
        <f t="shared" si="10"/>
        <v>18477.815850938558</v>
      </c>
    </row>
    <row r="21" spans="1:13" ht="11.25" customHeight="1" x14ac:dyDescent="0.2">
      <c r="A21" s="10" t="s">
        <v>17</v>
      </c>
      <c r="B21" s="101">
        <v>2500</v>
      </c>
      <c r="C21" s="101">
        <f>B21</f>
        <v>2500</v>
      </c>
      <c r="D21" s="101">
        <f t="shared" ref="D21:K21" si="11">C21</f>
        <v>2500</v>
      </c>
      <c r="E21" s="101">
        <f t="shared" si="11"/>
        <v>2500</v>
      </c>
      <c r="F21" s="101">
        <f t="shared" si="11"/>
        <v>2500</v>
      </c>
      <c r="G21" s="101">
        <f t="shared" si="11"/>
        <v>2500</v>
      </c>
      <c r="H21" s="101">
        <f t="shared" si="11"/>
        <v>2500</v>
      </c>
      <c r="I21" s="101">
        <f t="shared" si="11"/>
        <v>2500</v>
      </c>
      <c r="J21" s="101">
        <f t="shared" si="11"/>
        <v>2500</v>
      </c>
      <c r="K21" s="101">
        <f t="shared" si="11"/>
        <v>2500</v>
      </c>
      <c r="M21" s="2" t="s">
        <v>158</v>
      </c>
    </row>
    <row r="22" spans="1:13" ht="11.25" customHeight="1" x14ac:dyDescent="0.2">
      <c r="A22" s="8" t="s">
        <v>18</v>
      </c>
      <c r="B22" s="102">
        <f>B20-B21</f>
        <v>4500</v>
      </c>
      <c r="C22" s="102">
        <f>C20-C21</f>
        <v>5320.0000000000018</v>
      </c>
      <c r="D22" s="102">
        <f t="shared" ref="D22:K22" si="12">D20-D21</f>
        <v>6228.600000000004</v>
      </c>
      <c r="E22" s="102">
        <f t="shared" si="12"/>
        <v>7235.0380000000041</v>
      </c>
      <c r="F22" s="102">
        <f t="shared" si="12"/>
        <v>8349.498540000006</v>
      </c>
      <c r="G22" s="102">
        <f t="shared" si="12"/>
        <v>9583.2087982000085</v>
      </c>
      <c r="H22" s="102">
        <f t="shared" si="12"/>
        <v>10948.54439580601</v>
      </c>
      <c r="I22" s="102">
        <f t="shared" si="12"/>
        <v>12459.14588590799</v>
      </c>
      <c r="J22" s="102">
        <f t="shared" si="12"/>
        <v>14130.047002140007</v>
      </c>
      <c r="K22" s="102">
        <f t="shared" si="12"/>
        <v>15977.815850938558</v>
      </c>
      <c r="M22" s="2" t="s">
        <v>39</v>
      </c>
    </row>
    <row r="23" spans="1:13" x14ac:dyDescent="0.2">
      <c r="A23" s="10" t="s">
        <v>19</v>
      </c>
      <c r="B23" s="109">
        <v>0</v>
      </c>
      <c r="C23" s="109">
        <f>B57*10%</f>
        <v>2250</v>
      </c>
      <c r="D23" s="109">
        <f t="shared" ref="D23:K23" si="13">C57*10%</f>
        <v>2108.8228615143489</v>
      </c>
      <c r="E23" s="109">
        <f t="shared" si="13"/>
        <v>1953.5280091801328</v>
      </c>
      <c r="F23" s="109">
        <f t="shared" si="13"/>
        <v>1782.7036716124949</v>
      </c>
      <c r="G23" s="109">
        <f t="shared" si="13"/>
        <v>1594.7969002880932</v>
      </c>
      <c r="H23" s="109">
        <f t="shared" si="13"/>
        <v>1388.0994518312514</v>
      </c>
      <c r="I23" s="109">
        <f t="shared" si="13"/>
        <v>1160.7322585287254</v>
      </c>
      <c r="J23" s="109">
        <f t="shared" si="13"/>
        <v>910.62834589594661</v>
      </c>
      <c r="K23" s="109">
        <f t="shared" si="13"/>
        <v>635.5140419998902</v>
      </c>
      <c r="M23" s="2" t="s">
        <v>159</v>
      </c>
    </row>
    <row r="24" spans="1:13" ht="11.25" customHeight="1" x14ac:dyDescent="0.2">
      <c r="A24" s="8" t="s">
        <v>20</v>
      </c>
      <c r="B24" s="102">
        <f>B22-B23</f>
        <v>4500</v>
      </c>
      <c r="C24" s="102">
        <f>C22-C23</f>
        <v>3070.0000000000018</v>
      </c>
      <c r="D24" s="102">
        <f t="shared" ref="D24:K24" si="14">D22-D23</f>
        <v>4119.7771384856551</v>
      </c>
      <c r="E24" s="102">
        <f t="shared" si="14"/>
        <v>5281.5099908198717</v>
      </c>
      <c r="F24" s="102">
        <f t="shared" si="14"/>
        <v>6566.7948683875111</v>
      </c>
      <c r="G24" s="102">
        <f t="shared" si="14"/>
        <v>7988.4118979119157</v>
      </c>
      <c r="H24" s="102">
        <f t="shared" si="14"/>
        <v>9560.4449439747586</v>
      </c>
      <c r="I24" s="102">
        <f t="shared" si="14"/>
        <v>11298.413627379265</v>
      </c>
      <c r="J24" s="102">
        <f t="shared" si="14"/>
        <v>13219.418656244061</v>
      </c>
      <c r="K24" s="102">
        <f t="shared" si="14"/>
        <v>15342.301808938668</v>
      </c>
    </row>
    <row r="25" spans="1:13" ht="11.25" customHeight="1" x14ac:dyDescent="0.2">
      <c r="A25" s="10" t="s">
        <v>21</v>
      </c>
      <c r="B25" s="110">
        <f>B24*36.25%</f>
        <v>1631.25</v>
      </c>
      <c r="C25" s="110">
        <f>C24*36.25%</f>
        <v>1112.8750000000007</v>
      </c>
      <c r="D25" s="110">
        <f t="shared" ref="D25:K25" si="15">D24*36.25%</f>
        <v>1493.4192127010499</v>
      </c>
      <c r="E25" s="110">
        <f t="shared" si="15"/>
        <v>1914.5473716722036</v>
      </c>
      <c r="F25" s="110">
        <f t="shared" si="15"/>
        <v>2380.4631397904727</v>
      </c>
      <c r="G25" s="110">
        <f t="shared" si="15"/>
        <v>2895.7993129930692</v>
      </c>
      <c r="H25" s="110">
        <f t="shared" si="15"/>
        <v>3465.66129219085</v>
      </c>
      <c r="I25" s="110">
        <f t="shared" si="15"/>
        <v>4095.6749399249834</v>
      </c>
      <c r="J25" s="110">
        <f t="shared" si="15"/>
        <v>4792.039262888472</v>
      </c>
      <c r="K25" s="110">
        <f t="shared" si="15"/>
        <v>5561.5844057402674</v>
      </c>
      <c r="M25" s="2" t="s">
        <v>22</v>
      </c>
    </row>
    <row r="26" spans="1:13" ht="11.25" customHeight="1" x14ac:dyDescent="0.2">
      <c r="A26" s="12" t="s">
        <v>23</v>
      </c>
      <c r="B26" s="102">
        <f>B24-B25</f>
        <v>2868.75</v>
      </c>
      <c r="C26" s="102">
        <f>C24-C25</f>
        <v>1957.1250000000011</v>
      </c>
      <c r="D26" s="102">
        <f t="shared" ref="D26:K26" si="16">D24-D25</f>
        <v>2626.357925784605</v>
      </c>
      <c r="E26" s="102">
        <f t="shared" si="16"/>
        <v>3366.9626191476682</v>
      </c>
      <c r="F26" s="102">
        <f t="shared" si="16"/>
        <v>4186.3317285970388</v>
      </c>
      <c r="G26" s="102">
        <f t="shared" si="16"/>
        <v>5092.6125849188466</v>
      </c>
      <c r="H26" s="102">
        <f t="shared" si="16"/>
        <v>6094.7836517839087</v>
      </c>
      <c r="I26" s="102">
        <f t="shared" si="16"/>
        <v>7202.7386874542808</v>
      </c>
      <c r="J26" s="102">
        <f t="shared" si="16"/>
        <v>8427.3793933555899</v>
      </c>
      <c r="K26" s="102">
        <f t="shared" si="16"/>
        <v>9780.7174031983996</v>
      </c>
    </row>
    <row r="27" spans="1:13" ht="11.25" customHeight="1" x14ac:dyDescent="0.2">
      <c r="A27" s="10" t="s">
        <v>24</v>
      </c>
      <c r="B27" s="109">
        <f>B26*60%</f>
        <v>1721.25</v>
      </c>
      <c r="C27" s="109">
        <f>C26*60%</f>
        <v>1174.2750000000005</v>
      </c>
      <c r="D27" s="109">
        <f t="shared" ref="D27:K27" si="17">D26*60%</f>
        <v>1575.814755470763</v>
      </c>
      <c r="E27" s="109">
        <f t="shared" si="17"/>
        <v>2020.1775714886007</v>
      </c>
      <c r="F27" s="109">
        <f t="shared" si="17"/>
        <v>2511.7990371582232</v>
      </c>
      <c r="G27" s="109">
        <f t="shared" si="17"/>
        <v>3055.567550951308</v>
      </c>
      <c r="H27" s="109">
        <f t="shared" si="17"/>
        <v>3656.8701910703453</v>
      </c>
      <c r="I27" s="109">
        <f t="shared" si="17"/>
        <v>4321.6432124725679</v>
      </c>
      <c r="J27" s="109">
        <f t="shared" si="17"/>
        <v>5056.4276360133535</v>
      </c>
      <c r="K27" s="109">
        <f t="shared" si="17"/>
        <v>5868.4304419190394</v>
      </c>
      <c r="M27" s="2" t="s">
        <v>146</v>
      </c>
    </row>
    <row r="28" spans="1:13" ht="11.25" customHeight="1" x14ac:dyDescent="0.2">
      <c r="A28" s="6" t="s">
        <v>25</v>
      </c>
      <c r="B28" s="111">
        <f>B26-B27</f>
        <v>1147.5</v>
      </c>
      <c r="C28" s="111">
        <f>C26-C27</f>
        <v>782.85000000000059</v>
      </c>
      <c r="D28" s="111">
        <f t="shared" ref="D28:K28" si="18">D26-D27</f>
        <v>1050.543170313842</v>
      </c>
      <c r="E28" s="111">
        <f t="shared" si="18"/>
        <v>1346.7850476590675</v>
      </c>
      <c r="F28" s="111">
        <f t="shared" si="18"/>
        <v>1674.5326914388156</v>
      </c>
      <c r="G28" s="111">
        <f t="shared" si="18"/>
        <v>2037.0450339675385</v>
      </c>
      <c r="H28" s="111">
        <f t="shared" si="18"/>
        <v>2437.9134607135634</v>
      </c>
      <c r="I28" s="111">
        <f t="shared" si="18"/>
        <v>2881.0954749817129</v>
      </c>
      <c r="J28" s="111">
        <f t="shared" si="18"/>
        <v>3370.9517573422363</v>
      </c>
      <c r="K28" s="111">
        <f t="shared" si="18"/>
        <v>3912.2869612793602</v>
      </c>
    </row>
    <row r="29" spans="1:13" ht="11.25" customHeight="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3" ht="11.25" customHeight="1" x14ac:dyDescent="0.2">
      <c r="A30" s="1" t="s">
        <v>26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</row>
    <row r="31" spans="1:13" ht="11.25" customHeight="1" x14ac:dyDescent="0.2">
      <c r="A31" s="2" t="s">
        <v>27</v>
      </c>
      <c r="B31" s="72">
        <v>30</v>
      </c>
      <c r="C31" s="72">
        <v>30</v>
      </c>
      <c r="D31" s="72">
        <v>30</v>
      </c>
      <c r="E31" s="72">
        <v>30</v>
      </c>
      <c r="F31" s="72">
        <v>30</v>
      </c>
      <c r="G31" s="72">
        <v>30</v>
      </c>
      <c r="H31" s="72">
        <v>30</v>
      </c>
      <c r="I31" s="72">
        <v>30</v>
      </c>
      <c r="J31" s="72">
        <v>30</v>
      </c>
      <c r="K31" s="72">
        <v>30</v>
      </c>
    </row>
    <row r="32" spans="1:13" ht="11.25" customHeight="1" x14ac:dyDescent="0.2">
      <c r="A32" s="2" t="s">
        <v>28</v>
      </c>
      <c r="B32" s="72">
        <v>15</v>
      </c>
      <c r="C32" s="72">
        <v>15</v>
      </c>
      <c r="D32" s="72">
        <v>15</v>
      </c>
      <c r="E32" s="72">
        <v>15</v>
      </c>
      <c r="F32" s="72">
        <v>15</v>
      </c>
      <c r="G32" s="72">
        <v>15</v>
      </c>
      <c r="H32" s="72">
        <v>15</v>
      </c>
      <c r="I32" s="72">
        <v>15</v>
      </c>
      <c r="J32" s="72">
        <v>15</v>
      </c>
      <c r="K32" s="72">
        <v>15</v>
      </c>
    </row>
    <row r="33" spans="1:13" ht="11.25" customHeight="1" x14ac:dyDescent="0.2">
      <c r="A33" s="2" t="s">
        <v>29</v>
      </c>
      <c r="B33" s="72">
        <v>50</v>
      </c>
      <c r="C33" s="72">
        <v>50</v>
      </c>
      <c r="D33" s="72">
        <v>50</v>
      </c>
      <c r="E33" s="72">
        <v>50</v>
      </c>
      <c r="F33" s="72">
        <v>50</v>
      </c>
      <c r="G33" s="72">
        <v>50</v>
      </c>
      <c r="H33" s="72">
        <v>50</v>
      </c>
      <c r="I33" s="72">
        <v>50</v>
      </c>
      <c r="J33" s="72">
        <v>50</v>
      </c>
      <c r="K33" s="72">
        <v>50</v>
      </c>
    </row>
    <row r="34" spans="1:13" ht="11.25" customHeight="1" x14ac:dyDescent="0.2">
      <c r="A34" s="2" t="s">
        <v>138</v>
      </c>
      <c r="B34" s="76">
        <v>0.1</v>
      </c>
      <c r="C34" s="76">
        <v>0.1</v>
      </c>
      <c r="D34" s="76">
        <v>0.1</v>
      </c>
      <c r="E34" s="76">
        <v>0.1</v>
      </c>
      <c r="F34" s="76">
        <v>0.1</v>
      </c>
      <c r="G34" s="76">
        <v>0.1</v>
      </c>
      <c r="H34" s="76">
        <v>0.1</v>
      </c>
      <c r="I34" s="76">
        <v>0.1</v>
      </c>
      <c r="J34" s="76">
        <v>0.1</v>
      </c>
      <c r="K34" s="76">
        <v>0.1</v>
      </c>
    </row>
    <row r="35" spans="1:13" ht="11.25" customHeight="1" x14ac:dyDescent="0.2">
      <c r="A35" s="2" t="s">
        <v>139</v>
      </c>
      <c r="B35" s="76">
        <v>0.12</v>
      </c>
      <c r="C35" s="76">
        <v>0.12</v>
      </c>
      <c r="D35" s="76">
        <v>0.12</v>
      </c>
      <c r="E35" s="76">
        <v>0.12</v>
      </c>
      <c r="F35" s="76">
        <v>0.12</v>
      </c>
      <c r="G35" s="76">
        <v>0.12</v>
      </c>
      <c r="H35" s="76">
        <v>0.12</v>
      </c>
      <c r="I35" s="76">
        <v>0.12</v>
      </c>
      <c r="J35" s="76">
        <v>0.12</v>
      </c>
      <c r="K35" s="76">
        <v>0.12</v>
      </c>
    </row>
    <row r="36" spans="1:13" ht="11.25" customHeight="1" x14ac:dyDescent="0.2"/>
    <row r="37" spans="1:13" ht="11.25" customHeight="1" x14ac:dyDescent="0.2">
      <c r="A37" s="232" t="s">
        <v>31</v>
      </c>
      <c r="B37" s="96"/>
      <c r="C37" s="97"/>
      <c r="D37" s="97"/>
      <c r="E37" s="97"/>
      <c r="F37" s="238" t="s">
        <v>4</v>
      </c>
      <c r="G37" s="238"/>
      <c r="H37" s="97"/>
      <c r="I37" s="97"/>
      <c r="J37" s="97"/>
      <c r="K37" s="98"/>
    </row>
    <row r="38" spans="1:13" ht="11.25" customHeight="1" x14ac:dyDescent="0.2">
      <c r="A38" s="233"/>
      <c r="B38" s="3">
        <v>2010</v>
      </c>
      <c r="C38" s="3">
        <v>2011</v>
      </c>
      <c r="D38" s="3">
        <v>2012</v>
      </c>
      <c r="E38" s="3">
        <v>2013</v>
      </c>
      <c r="F38" s="3">
        <v>2014</v>
      </c>
      <c r="G38" s="3">
        <v>2015</v>
      </c>
      <c r="H38" s="3">
        <v>2016</v>
      </c>
      <c r="I38" s="3">
        <v>2017</v>
      </c>
      <c r="J38" s="3">
        <v>2018</v>
      </c>
      <c r="K38" s="3">
        <v>2019</v>
      </c>
    </row>
    <row r="39" spans="1:13" ht="11.25" customHeight="1" x14ac:dyDescent="0.2">
      <c r="A39" s="17" t="s">
        <v>32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3" ht="11.25" customHeight="1" x14ac:dyDescent="0.2">
      <c r="A40" s="20" t="s">
        <v>33</v>
      </c>
      <c r="B40" s="101">
        <f>MAX(B10*5%,1000)</f>
        <v>1250</v>
      </c>
      <c r="C40" s="101">
        <f>C10*5%</f>
        <v>1375.0000000000002</v>
      </c>
      <c r="D40" s="101">
        <f t="shared" ref="D40:K40" si="19">D10*5%</f>
        <v>1512.5000000000005</v>
      </c>
      <c r="E40" s="101">
        <f t="shared" si="19"/>
        <v>1663.7500000000005</v>
      </c>
      <c r="F40" s="101">
        <f t="shared" si="19"/>
        <v>1830.1250000000009</v>
      </c>
      <c r="G40" s="101">
        <f t="shared" si="19"/>
        <v>2013.1375000000012</v>
      </c>
      <c r="H40" s="101">
        <f t="shared" si="19"/>
        <v>2214.4512500000014</v>
      </c>
      <c r="I40" s="101">
        <f t="shared" si="19"/>
        <v>2435.8963750000016</v>
      </c>
      <c r="J40" s="101">
        <f t="shared" si="19"/>
        <v>2679.4860125000023</v>
      </c>
      <c r="K40" s="101">
        <f t="shared" si="19"/>
        <v>2947.4346137500029</v>
      </c>
      <c r="M40" s="2" t="s">
        <v>168</v>
      </c>
    </row>
    <row r="41" spans="1:13" ht="11.25" customHeight="1" x14ac:dyDescent="0.2">
      <c r="A41" s="20" t="s">
        <v>34</v>
      </c>
      <c r="B41" s="95">
        <f>B118</f>
        <v>6781.8055555555547</v>
      </c>
      <c r="C41" s="95">
        <f>C118</f>
        <v>4855.4809460334063</v>
      </c>
      <c r="D41" s="95">
        <f t="shared" ref="D41:K41" si="20">D118</f>
        <v>4945.8921001115041</v>
      </c>
      <c r="E41" s="95">
        <f t="shared" si="20"/>
        <v>5246.6362661517196</v>
      </c>
      <c r="F41" s="95">
        <f t="shared" si="20"/>
        <v>5775.4049349780917</v>
      </c>
      <c r="G41" s="95">
        <f t="shared" si="20"/>
        <v>6557.4871128586901</v>
      </c>
      <c r="H41" s="95">
        <f t="shared" si="20"/>
        <v>7620.6119542040342</v>
      </c>
      <c r="I41" s="95">
        <f t="shared" si="20"/>
        <v>8995.4199618311541</v>
      </c>
      <c r="J41" s="95">
        <f t="shared" si="20"/>
        <v>10715.76381327516</v>
      </c>
      <c r="K41" s="95">
        <f t="shared" si="20"/>
        <v>12819.038663360818</v>
      </c>
    </row>
    <row r="42" spans="1:13" ht="11.25" customHeight="1" x14ac:dyDescent="0.2">
      <c r="A42" s="20" t="s">
        <v>35</v>
      </c>
      <c r="B42" s="103">
        <f>B10*B31/360</f>
        <v>2083.3333333333335</v>
      </c>
      <c r="C42" s="103">
        <f>C10/360*C31</f>
        <v>2291.666666666667</v>
      </c>
      <c r="D42" s="103">
        <f t="shared" ref="D42:K42" si="21">D10/360*D31</f>
        <v>2520.8333333333339</v>
      </c>
      <c r="E42" s="103">
        <f t="shared" si="21"/>
        <v>2772.916666666667</v>
      </c>
      <c r="F42" s="103">
        <f t="shared" si="21"/>
        <v>3050.2083333333348</v>
      </c>
      <c r="G42" s="103">
        <f t="shared" si="21"/>
        <v>3355.2291666666683</v>
      </c>
      <c r="H42" s="103">
        <f t="shared" si="21"/>
        <v>3690.7520833333356</v>
      </c>
      <c r="I42" s="103">
        <f t="shared" si="21"/>
        <v>4059.8272916666697</v>
      </c>
      <c r="J42" s="103">
        <f t="shared" si="21"/>
        <v>4465.8100208333371</v>
      </c>
      <c r="K42" s="103">
        <f t="shared" si="21"/>
        <v>4912.3910229166704</v>
      </c>
    </row>
    <row r="43" spans="1:13" ht="11.25" customHeight="1" x14ac:dyDescent="0.2">
      <c r="A43" s="20" t="s">
        <v>36</v>
      </c>
      <c r="B43" s="103">
        <f>B16*B32/360</f>
        <v>625</v>
      </c>
      <c r="C43" s="103">
        <f>C16/360*C32</f>
        <v>693.1515046296297</v>
      </c>
      <c r="D43" s="103">
        <f t="shared" ref="D43:K43" si="22">D16/360*D32</f>
        <v>760.29623412169474</v>
      </c>
      <c r="E43" s="103">
        <f t="shared" si="22"/>
        <v>835.99657675009303</v>
      </c>
      <c r="F43" s="103">
        <f t="shared" si="22"/>
        <v>919.43469688846017</v>
      </c>
      <c r="G43" s="103">
        <f t="shared" si="22"/>
        <v>1011.3815874458155</v>
      </c>
      <c r="H43" s="103">
        <f t="shared" si="22"/>
        <v>1112.69019759405</v>
      </c>
      <c r="I43" s="103">
        <f t="shared" si="22"/>
        <v>1224.2986974618375</v>
      </c>
      <c r="J43" s="103">
        <f t="shared" si="22"/>
        <v>1347.2391895515268</v>
      </c>
      <c r="K43" s="103">
        <f t="shared" si="22"/>
        <v>1482.6471100527306</v>
      </c>
    </row>
    <row r="44" spans="1:13" ht="11.25" customHeight="1" x14ac:dyDescent="0.2">
      <c r="A44" s="21" t="s">
        <v>37</v>
      </c>
      <c r="B44" s="54">
        <f>SUM(B40:B43)</f>
        <v>10740.138888888889</v>
      </c>
      <c r="C44" s="54">
        <f>SUM(C40:C43)</f>
        <v>9215.2991173297032</v>
      </c>
      <c r="D44" s="54">
        <f t="shared" ref="D44:K44" si="23">SUM(D40:D43)</f>
        <v>9739.5216675665342</v>
      </c>
      <c r="E44" s="54">
        <f t="shared" si="23"/>
        <v>10519.29950956848</v>
      </c>
      <c r="F44" s="54">
        <f t="shared" si="23"/>
        <v>11575.172965199887</v>
      </c>
      <c r="G44" s="54">
        <f t="shared" si="23"/>
        <v>12937.235366971176</v>
      </c>
      <c r="H44" s="54">
        <f t="shared" si="23"/>
        <v>14638.50548513142</v>
      </c>
      <c r="I44" s="54">
        <f t="shared" si="23"/>
        <v>16715.442325959662</v>
      </c>
      <c r="J44" s="54">
        <f t="shared" si="23"/>
        <v>19208.299036160028</v>
      </c>
      <c r="K44" s="54">
        <f t="shared" si="23"/>
        <v>22161.51141008022</v>
      </c>
    </row>
    <row r="45" spans="1:13" ht="11.25" customHeight="1" x14ac:dyDescent="0.2">
      <c r="A45" s="20" t="s">
        <v>38</v>
      </c>
      <c r="B45" s="99">
        <v>52500</v>
      </c>
      <c r="C45" s="99">
        <f>B45+C21</f>
        <v>55000</v>
      </c>
      <c r="D45" s="99">
        <f t="shared" ref="D45:K45" si="24">C45+D21</f>
        <v>57500</v>
      </c>
      <c r="E45" s="99">
        <f t="shared" si="24"/>
        <v>60000</v>
      </c>
      <c r="F45" s="99">
        <f t="shared" si="24"/>
        <v>62500</v>
      </c>
      <c r="G45" s="99">
        <f t="shared" si="24"/>
        <v>65000</v>
      </c>
      <c r="H45" s="99">
        <f t="shared" si="24"/>
        <v>67500</v>
      </c>
      <c r="I45" s="99">
        <f t="shared" si="24"/>
        <v>70000</v>
      </c>
      <c r="J45" s="99">
        <f t="shared" si="24"/>
        <v>72500</v>
      </c>
      <c r="K45" s="99">
        <f t="shared" si="24"/>
        <v>75000</v>
      </c>
    </row>
    <row r="46" spans="1:13" ht="11.25" customHeight="1" x14ac:dyDescent="0.2">
      <c r="A46" s="20" t="s">
        <v>40</v>
      </c>
      <c r="B46" s="95">
        <f>-B21</f>
        <v>-2500</v>
      </c>
      <c r="C46" s="95">
        <f>B46-C21</f>
        <v>-5000</v>
      </c>
      <c r="D46" s="95">
        <f t="shared" ref="D46:K46" si="25">C46-D21</f>
        <v>-7500</v>
      </c>
      <c r="E46" s="95">
        <f t="shared" si="25"/>
        <v>-10000</v>
      </c>
      <c r="F46" s="95">
        <f t="shared" si="25"/>
        <v>-12500</v>
      </c>
      <c r="G46" s="95">
        <f t="shared" si="25"/>
        <v>-15000</v>
      </c>
      <c r="H46" s="95">
        <f t="shared" si="25"/>
        <v>-17500</v>
      </c>
      <c r="I46" s="95">
        <f t="shared" si="25"/>
        <v>-20000</v>
      </c>
      <c r="J46" s="95">
        <f t="shared" si="25"/>
        <v>-22500</v>
      </c>
      <c r="K46" s="95">
        <f t="shared" si="25"/>
        <v>-25000</v>
      </c>
    </row>
    <row r="47" spans="1:13" ht="11.25" customHeight="1" x14ac:dyDescent="0.2">
      <c r="A47" s="21" t="s">
        <v>41</v>
      </c>
      <c r="B47" s="105">
        <f>SUM(B45:B46)</f>
        <v>50000</v>
      </c>
      <c r="C47" s="105">
        <f>SUM(C45:C46)</f>
        <v>50000</v>
      </c>
      <c r="D47" s="105">
        <f t="shared" ref="D47:K47" si="26">SUM(D45:D46)</f>
        <v>50000</v>
      </c>
      <c r="E47" s="105">
        <f t="shared" si="26"/>
        <v>50000</v>
      </c>
      <c r="F47" s="105">
        <f t="shared" si="26"/>
        <v>50000</v>
      </c>
      <c r="G47" s="105">
        <f t="shared" si="26"/>
        <v>50000</v>
      </c>
      <c r="H47" s="105">
        <f t="shared" si="26"/>
        <v>50000</v>
      </c>
      <c r="I47" s="105">
        <f t="shared" si="26"/>
        <v>50000</v>
      </c>
      <c r="J47" s="105">
        <f t="shared" si="26"/>
        <v>50000</v>
      </c>
      <c r="K47" s="105">
        <f t="shared" si="26"/>
        <v>50000</v>
      </c>
    </row>
    <row r="48" spans="1:13" ht="11.25" customHeight="1" x14ac:dyDescent="0.2">
      <c r="A48" s="21" t="s">
        <v>42</v>
      </c>
      <c r="B48" s="55">
        <f>B44+B47</f>
        <v>60740.138888888891</v>
      </c>
      <c r="C48" s="55">
        <f>C44+C47</f>
        <v>59215.299117329705</v>
      </c>
      <c r="D48" s="55">
        <f t="shared" ref="D48:K48" si="27">D44+D47</f>
        <v>59739.521667566536</v>
      </c>
      <c r="E48" s="55">
        <f t="shared" si="27"/>
        <v>60519.299509568482</v>
      </c>
      <c r="F48" s="55">
        <f t="shared" si="27"/>
        <v>61575.17296519989</v>
      </c>
      <c r="G48" s="55">
        <f t="shared" si="27"/>
        <v>62937.235366971174</v>
      </c>
      <c r="H48" s="55">
        <f t="shared" si="27"/>
        <v>64638.50548513142</v>
      </c>
      <c r="I48" s="55">
        <f t="shared" si="27"/>
        <v>66715.442325959666</v>
      </c>
      <c r="J48" s="55">
        <f t="shared" si="27"/>
        <v>69208.299036160024</v>
      </c>
      <c r="K48" s="55">
        <f t="shared" si="27"/>
        <v>72161.511410080217</v>
      </c>
    </row>
    <row r="49" spans="1:11" ht="11.25" customHeight="1" x14ac:dyDescent="0.2">
      <c r="B49" s="56"/>
      <c r="C49" s="56">
        <f t="shared" ref="C49:I49" si="28">C48-C65</f>
        <v>0</v>
      </c>
      <c r="D49" s="56">
        <f t="shared" si="28"/>
        <v>0</v>
      </c>
      <c r="E49" s="56">
        <f t="shared" si="28"/>
        <v>0</v>
      </c>
      <c r="F49" s="56">
        <f t="shared" si="28"/>
        <v>0</v>
      </c>
      <c r="G49" s="56">
        <f t="shared" si="28"/>
        <v>0</v>
      </c>
      <c r="H49" s="56">
        <f t="shared" si="28"/>
        <v>0</v>
      </c>
      <c r="I49" s="56">
        <f t="shared" si="28"/>
        <v>0</v>
      </c>
      <c r="J49" s="56"/>
      <c r="K49" s="56"/>
    </row>
    <row r="50" spans="1:11" ht="11.25" customHeight="1" x14ac:dyDescent="0.2">
      <c r="A50" s="35" t="s">
        <v>43</v>
      </c>
      <c r="B50" s="51"/>
      <c r="C50" s="62"/>
      <c r="D50" s="62"/>
      <c r="E50" s="62"/>
      <c r="F50" s="62"/>
      <c r="G50" s="51"/>
      <c r="H50" s="51"/>
      <c r="I50" s="51"/>
      <c r="J50" s="51"/>
      <c r="K50" s="51"/>
    </row>
    <row r="51" spans="1:11" ht="11.25" customHeight="1" x14ac:dyDescent="0.2">
      <c r="A51" s="19" t="s">
        <v>44</v>
      </c>
      <c r="B51" s="53">
        <f>B14*B33/360</f>
        <v>2170.1388888888887</v>
      </c>
      <c r="C51" s="103">
        <f>C14/360*C33</f>
        <v>2319.9705021862142</v>
      </c>
      <c r="D51" s="103">
        <f t="shared" ref="D51:K51" si="29">D14/360*D33</f>
        <v>2543.6464372795472</v>
      </c>
      <c r="E51" s="103">
        <f t="shared" si="29"/>
        <v>2797.1691923098101</v>
      </c>
      <c r="F51" s="103">
        <f t="shared" si="29"/>
        <v>3076.370950758529</v>
      </c>
      <c r="G51" s="103">
        <f t="shared" si="29"/>
        <v>3384.0423596190176</v>
      </c>
      <c r="H51" s="103">
        <f t="shared" si="29"/>
        <v>3723.0379656118648</v>
      </c>
      <c r="I51" s="103">
        <f t="shared" si="29"/>
        <v>4096.4968387433173</v>
      </c>
      <c r="J51" s="103">
        <f t="shared" si="29"/>
        <v>4507.8723668508801</v>
      </c>
      <c r="K51" s="103">
        <f t="shared" si="29"/>
        <v>4960.9636891342689</v>
      </c>
    </row>
    <row r="52" spans="1:11" ht="11.25" customHeight="1" x14ac:dyDescent="0.2">
      <c r="A52" s="19" t="s">
        <v>140</v>
      </c>
      <c r="B52" s="53">
        <f>B18*B34</f>
        <v>200</v>
      </c>
      <c r="C52" s="103">
        <f>C18*C34</f>
        <v>210</v>
      </c>
      <c r="D52" s="103">
        <f t="shared" ref="D52:K52" si="30">D18*D34</f>
        <v>220.5</v>
      </c>
      <c r="E52" s="103">
        <f t="shared" si="30"/>
        <v>231.52500000000001</v>
      </c>
      <c r="F52" s="103">
        <f t="shared" si="30"/>
        <v>243.10125000000005</v>
      </c>
      <c r="G52" s="103">
        <f t="shared" si="30"/>
        <v>255.25631250000006</v>
      </c>
      <c r="H52" s="103">
        <f t="shared" si="30"/>
        <v>268.01912812500012</v>
      </c>
      <c r="I52" s="103">
        <f t="shared" si="30"/>
        <v>281.4200845312501</v>
      </c>
      <c r="J52" s="103">
        <f t="shared" si="30"/>
        <v>295.49108875781263</v>
      </c>
      <c r="K52" s="103">
        <f t="shared" si="30"/>
        <v>310.26564319570326</v>
      </c>
    </row>
    <row r="53" spans="1:11" ht="11.25" customHeight="1" x14ac:dyDescent="0.2">
      <c r="A53" s="19" t="s">
        <v>141</v>
      </c>
      <c r="B53" s="53">
        <f>B19*B35</f>
        <v>120</v>
      </c>
      <c r="C53" s="103">
        <f>C19*C35</f>
        <v>129.6</v>
      </c>
      <c r="D53" s="103">
        <f t="shared" ref="D53:K53" si="31">D19*D35</f>
        <v>139.96800000000002</v>
      </c>
      <c r="E53" s="103">
        <f t="shared" si="31"/>
        <v>151.16544000000002</v>
      </c>
      <c r="F53" s="103">
        <f t="shared" si="31"/>
        <v>163.25867520000003</v>
      </c>
      <c r="G53" s="103">
        <f t="shared" si="31"/>
        <v>176.31936921600004</v>
      </c>
      <c r="H53" s="103">
        <f t="shared" si="31"/>
        <v>190.42491875328005</v>
      </c>
      <c r="I53" s="103">
        <f t="shared" si="31"/>
        <v>205.65891225354247</v>
      </c>
      <c r="J53" s="103">
        <f t="shared" si="31"/>
        <v>222.11162523382589</v>
      </c>
      <c r="K53" s="103">
        <f t="shared" si="31"/>
        <v>239.88055525253196</v>
      </c>
    </row>
    <row r="54" spans="1:11" ht="11.25" customHeight="1" x14ac:dyDescent="0.2">
      <c r="A54" s="19" t="s">
        <v>45</v>
      </c>
      <c r="B54" s="53">
        <f>B25</f>
        <v>1631.25</v>
      </c>
      <c r="C54" s="103">
        <f>C25</f>
        <v>1112.8750000000007</v>
      </c>
      <c r="D54" s="103">
        <f t="shared" ref="D54:K54" si="32">D25</f>
        <v>1493.4192127010499</v>
      </c>
      <c r="E54" s="103">
        <f t="shared" si="32"/>
        <v>1914.5473716722036</v>
      </c>
      <c r="F54" s="103">
        <f t="shared" si="32"/>
        <v>2380.4631397904727</v>
      </c>
      <c r="G54" s="103">
        <f t="shared" si="32"/>
        <v>2895.7993129930692</v>
      </c>
      <c r="H54" s="103">
        <f t="shared" si="32"/>
        <v>3465.66129219085</v>
      </c>
      <c r="I54" s="103">
        <f t="shared" si="32"/>
        <v>4095.6749399249834</v>
      </c>
      <c r="J54" s="103">
        <f t="shared" si="32"/>
        <v>4792.039262888472</v>
      </c>
      <c r="K54" s="103">
        <f t="shared" si="32"/>
        <v>5561.5844057402674</v>
      </c>
    </row>
    <row r="55" spans="1:11" ht="11.25" customHeight="1" x14ac:dyDescent="0.2">
      <c r="A55" s="19" t="s">
        <v>46</v>
      </c>
      <c r="B55" s="49"/>
      <c r="C55" s="95"/>
      <c r="D55" s="95"/>
      <c r="E55" s="95"/>
      <c r="F55" s="95"/>
      <c r="G55" s="49"/>
      <c r="H55" s="49"/>
      <c r="I55" s="49"/>
      <c r="J55" s="49"/>
      <c r="K55" s="49"/>
    </row>
    <row r="56" spans="1:11" ht="11.25" customHeight="1" x14ac:dyDescent="0.2">
      <c r="A56" s="36" t="s">
        <v>47</v>
      </c>
      <c r="B56" s="54">
        <f>SUM(B51:B55)</f>
        <v>4121.3888888888887</v>
      </c>
      <c r="C56" s="105">
        <f>SUM(C51:C55)</f>
        <v>3772.445502186215</v>
      </c>
      <c r="D56" s="105">
        <f t="shared" ref="D56:K56" si="33">SUM(D51:D55)</f>
        <v>4397.5336499805971</v>
      </c>
      <c r="E56" s="105">
        <f t="shared" si="33"/>
        <v>5094.4070039820144</v>
      </c>
      <c r="F56" s="105">
        <f t="shared" si="33"/>
        <v>5863.1940157490026</v>
      </c>
      <c r="G56" s="105">
        <f t="shared" si="33"/>
        <v>6711.4173543280867</v>
      </c>
      <c r="H56" s="105">
        <f t="shared" si="33"/>
        <v>7647.1433046809952</v>
      </c>
      <c r="I56" s="105">
        <f t="shared" si="33"/>
        <v>8679.2507754530925</v>
      </c>
      <c r="J56" s="105">
        <f t="shared" si="33"/>
        <v>9817.5143437309907</v>
      </c>
      <c r="K56" s="105">
        <f t="shared" si="33"/>
        <v>11072.694293322771</v>
      </c>
    </row>
    <row r="57" spans="1:11" ht="11.25" customHeight="1" x14ac:dyDescent="0.2">
      <c r="A57" s="39" t="s">
        <v>48</v>
      </c>
      <c r="B57" s="88">
        <v>22500</v>
      </c>
      <c r="C57" s="106">
        <f>B57-C107</f>
        <v>21088.228615143489</v>
      </c>
      <c r="D57" s="106">
        <f t="shared" ref="D57:K57" si="34">C57-D107</f>
        <v>19535.280091801327</v>
      </c>
      <c r="E57" s="106">
        <f t="shared" si="34"/>
        <v>17827.036716124949</v>
      </c>
      <c r="F57" s="106">
        <f t="shared" si="34"/>
        <v>15947.969002880931</v>
      </c>
      <c r="G57" s="106">
        <f t="shared" si="34"/>
        <v>13880.994518312513</v>
      </c>
      <c r="H57" s="106">
        <f t="shared" si="34"/>
        <v>11607.322585287253</v>
      </c>
      <c r="I57" s="106">
        <f t="shared" si="34"/>
        <v>9106.2834589594659</v>
      </c>
      <c r="J57" s="106">
        <f t="shared" si="34"/>
        <v>6355.1404199989011</v>
      </c>
      <c r="K57" s="106">
        <f t="shared" si="34"/>
        <v>3328.8830771422799</v>
      </c>
    </row>
    <row r="58" spans="1:11" ht="11.25" customHeight="1" x14ac:dyDescent="0.2">
      <c r="A58" s="36" t="s">
        <v>49</v>
      </c>
      <c r="B58" s="55">
        <f>B56+B57</f>
        <v>26621.388888888891</v>
      </c>
      <c r="C58" s="107">
        <f>C56+C57</f>
        <v>24860.674117329705</v>
      </c>
      <c r="D58" s="107">
        <f t="shared" ref="D58:K58" si="35">D56+D57</f>
        <v>23932.813741781923</v>
      </c>
      <c r="E58" s="107">
        <f t="shared" si="35"/>
        <v>22921.443720106963</v>
      </c>
      <c r="F58" s="107">
        <f t="shared" si="35"/>
        <v>21811.163018629934</v>
      </c>
      <c r="G58" s="107">
        <f t="shared" si="35"/>
        <v>20592.411872640601</v>
      </c>
      <c r="H58" s="107">
        <f t="shared" si="35"/>
        <v>19254.465889968247</v>
      </c>
      <c r="I58" s="107">
        <f t="shared" si="35"/>
        <v>17785.53423441256</v>
      </c>
      <c r="J58" s="107">
        <f t="shared" si="35"/>
        <v>16172.654763729892</v>
      </c>
      <c r="K58" s="107">
        <f t="shared" si="35"/>
        <v>14401.577370465051</v>
      </c>
    </row>
    <row r="59" spans="1:11" ht="11.25" customHeight="1" x14ac:dyDescent="0.2">
      <c r="B59" s="56"/>
    </row>
    <row r="60" spans="1:11" ht="11.25" customHeight="1" x14ac:dyDescent="0.2">
      <c r="A60" s="35" t="s">
        <v>50</v>
      </c>
      <c r="B60" s="51"/>
      <c r="C60" s="62"/>
      <c r="D60" s="62"/>
      <c r="E60" s="62"/>
      <c r="F60" s="62"/>
      <c r="G60" s="51"/>
      <c r="H60" s="51"/>
      <c r="I60" s="51"/>
      <c r="J60" s="51"/>
      <c r="K60" s="51"/>
    </row>
    <row r="61" spans="1:11" ht="11.25" customHeight="1" x14ac:dyDescent="0.2">
      <c r="A61" s="19" t="s">
        <v>51</v>
      </c>
      <c r="B61" s="52">
        <v>31250</v>
      </c>
      <c r="C61" s="101">
        <f>B61+C111-C112</f>
        <v>31250</v>
      </c>
      <c r="D61" s="101">
        <f t="shared" ref="D61:K61" si="36">C61+D111-D112</f>
        <v>31250</v>
      </c>
      <c r="E61" s="101">
        <f t="shared" si="36"/>
        <v>31250</v>
      </c>
      <c r="F61" s="101">
        <f t="shared" si="36"/>
        <v>31250</v>
      </c>
      <c r="G61" s="101">
        <f t="shared" si="36"/>
        <v>31250</v>
      </c>
      <c r="H61" s="101">
        <f t="shared" si="36"/>
        <v>31250</v>
      </c>
      <c r="I61" s="101">
        <f t="shared" si="36"/>
        <v>31250</v>
      </c>
      <c r="J61" s="101">
        <f t="shared" si="36"/>
        <v>31250</v>
      </c>
      <c r="K61" s="101">
        <f t="shared" si="36"/>
        <v>31250</v>
      </c>
    </row>
    <row r="62" spans="1:11" ht="11.25" customHeight="1" x14ac:dyDescent="0.2">
      <c r="A62" s="19" t="s">
        <v>52</v>
      </c>
      <c r="B62" s="49">
        <f>B26</f>
        <v>2868.75</v>
      </c>
      <c r="C62" s="95">
        <f>C26</f>
        <v>1957.1250000000011</v>
      </c>
      <c r="D62" s="95">
        <f t="shared" ref="D62:K62" si="37">D26</f>
        <v>2626.357925784605</v>
      </c>
      <c r="E62" s="95">
        <f t="shared" si="37"/>
        <v>3366.9626191476682</v>
      </c>
      <c r="F62" s="95">
        <f t="shared" si="37"/>
        <v>4186.3317285970388</v>
      </c>
      <c r="G62" s="95">
        <f t="shared" si="37"/>
        <v>5092.6125849188466</v>
      </c>
      <c r="H62" s="95">
        <f t="shared" si="37"/>
        <v>6094.7836517839087</v>
      </c>
      <c r="I62" s="95">
        <f t="shared" si="37"/>
        <v>7202.7386874542808</v>
      </c>
      <c r="J62" s="95">
        <f t="shared" si="37"/>
        <v>8427.3793933555899</v>
      </c>
      <c r="K62" s="95">
        <f t="shared" si="37"/>
        <v>9780.7174031983996</v>
      </c>
    </row>
    <row r="63" spans="1:11" ht="11.25" customHeight="1" x14ac:dyDescent="0.2">
      <c r="A63" s="19" t="s">
        <v>53</v>
      </c>
      <c r="B63" s="49"/>
      <c r="C63" s="95">
        <f>B63+B28</f>
        <v>1147.5</v>
      </c>
      <c r="D63" s="95">
        <f>C63+C28</f>
        <v>1930.3500000000006</v>
      </c>
      <c r="E63" s="95">
        <f t="shared" ref="E63:K63" si="38">D63+D28</f>
        <v>2980.8931703138423</v>
      </c>
      <c r="F63" s="95">
        <f t="shared" si="38"/>
        <v>4327.6782179729098</v>
      </c>
      <c r="G63" s="95">
        <f t="shared" si="38"/>
        <v>6002.2109094117259</v>
      </c>
      <c r="H63" s="95">
        <f t="shared" si="38"/>
        <v>8039.2559433792649</v>
      </c>
      <c r="I63" s="95">
        <f t="shared" si="38"/>
        <v>10477.169404092829</v>
      </c>
      <c r="J63" s="95">
        <f t="shared" si="38"/>
        <v>13358.264879074541</v>
      </c>
      <c r="K63" s="95">
        <f t="shared" si="38"/>
        <v>16729.216636416779</v>
      </c>
    </row>
    <row r="64" spans="1:11" ht="11.25" customHeight="1" x14ac:dyDescent="0.2">
      <c r="A64" s="37" t="s">
        <v>54</v>
      </c>
      <c r="B64" s="54">
        <f>SUM(B61:B63)</f>
        <v>34118.75</v>
      </c>
      <c r="C64" s="105">
        <f>SUM(C61:C63)</f>
        <v>34354.625</v>
      </c>
      <c r="D64" s="105">
        <f t="shared" ref="D64:K64" si="39">SUM(D61:D63)</f>
        <v>35806.707925784605</v>
      </c>
      <c r="E64" s="105">
        <f t="shared" si="39"/>
        <v>37597.855789461515</v>
      </c>
      <c r="F64" s="105">
        <f t="shared" si="39"/>
        <v>39764.009946569953</v>
      </c>
      <c r="G64" s="105">
        <f t="shared" si="39"/>
        <v>42344.823494330572</v>
      </c>
      <c r="H64" s="105">
        <f t="shared" si="39"/>
        <v>45384.039595163173</v>
      </c>
      <c r="I64" s="105">
        <f t="shared" si="39"/>
        <v>48929.908091547106</v>
      </c>
      <c r="J64" s="105">
        <f t="shared" si="39"/>
        <v>53035.644272430131</v>
      </c>
      <c r="K64" s="105">
        <f t="shared" si="39"/>
        <v>57759.934039615182</v>
      </c>
    </row>
    <row r="65" spans="1:13" ht="11.25" customHeight="1" x14ac:dyDescent="0.2">
      <c r="A65" s="31" t="s">
        <v>55</v>
      </c>
      <c r="B65" s="58">
        <f>B58+B64</f>
        <v>60740.138888888891</v>
      </c>
      <c r="C65" s="108">
        <f>C58+C64</f>
        <v>59215.299117329705</v>
      </c>
      <c r="D65" s="108">
        <f t="shared" ref="D65:K65" si="40">D58+D64</f>
        <v>59739.521667566529</v>
      </c>
      <c r="E65" s="108">
        <f t="shared" si="40"/>
        <v>60519.299509568475</v>
      </c>
      <c r="F65" s="108">
        <f t="shared" si="40"/>
        <v>61575.17296519989</v>
      </c>
      <c r="G65" s="108">
        <f t="shared" si="40"/>
        <v>62937.235366971174</v>
      </c>
      <c r="H65" s="108">
        <f t="shared" si="40"/>
        <v>64638.50548513142</v>
      </c>
      <c r="I65" s="108">
        <f t="shared" si="40"/>
        <v>66715.442325959666</v>
      </c>
      <c r="J65" s="108">
        <f t="shared" si="40"/>
        <v>69208.299036160024</v>
      </c>
      <c r="K65" s="108">
        <f t="shared" si="40"/>
        <v>72161.511410080231</v>
      </c>
    </row>
    <row r="66" spans="1:13" ht="11.25" customHeight="1" x14ac:dyDescent="0.2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3" ht="11.25" customHeigh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3" ht="11.25" customHeight="1" x14ac:dyDescent="0.2">
      <c r="A68" s="232" t="s">
        <v>56</v>
      </c>
      <c r="B68" s="96"/>
      <c r="C68" s="97"/>
      <c r="D68" s="97"/>
      <c r="E68" s="97"/>
      <c r="F68" s="238" t="s">
        <v>4</v>
      </c>
      <c r="G68" s="238"/>
      <c r="H68" s="97"/>
      <c r="I68" s="97"/>
      <c r="J68" s="97"/>
      <c r="K68" s="98"/>
    </row>
    <row r="69" spans="1:13" ht="11.25" customHeight="1" x14ac:dyDescent="0.2">
      <c r="A69" s="233"/>
      <c r="B69" s="3">
        <v>2010</v>
      </c>
      <c r="C69" s="3">
        <v>2011</v>
      </c>
      <c r="D69" s="3">
        <v>2012</v>
      </c>
      <c r="E69" s="3">
        <v>2013</v>
      </c>
      <c r="F69" s="3">
        <v>2014</v>
      </c>
      <c r="G69" s="3">
        <v>2015</v>
      </c>
      <c r="H69" s="3">
        <v>2016</v>
      </c>
      <c r="I69" s="3">
        <v>2017</v>
      </c>
      <c r="J69" s="3">
        <v>2018</v>
      </c>
      <c r="K69" s="3">
        <v>2019</v>
      </c>
    </row>
    <row r="70" spans="1:13" ht="11.25" customHeight="1" x14ac:dyDescent="0.2">
      <c r="A70" s="26" t="s">
        <v>57</v>
      </c>
      <c r="B70" s="57">
        <f>B41</f>
        <v>6781.8055555555547</v>
      </c>
      <c r="C70" s="57">
        <f t="shared" ref="C70:K70" si="41">C41</f>
        <v>4855.4809460334063</v>
      </c>
      <c r="D70" s="57">
        <f t="shared" si="41"/>
        <v>4945.8921001115041</v>
      </c>
      <c r="E70" s="57">
        <f t="shared" si="41"/>
        <v>5246.6362661517196</v>
      </c>
      <c r="F70" s="57">
        <f t="shared" si="41"/>
        <v>5775.4049349780917</v>
      </c>
      <c r="G70" s="57">
        <f t="shared" si="41"/>
        <v>6557.4871128586901</v>
      </c>
      <c r="H70" s="57">
        <f t="shared" si="41"/>
        <v>7620.6119542040342</v>
      </c>
      <c r="I70" s="57">
        <f t="shared" si="41"/>
        <v>8995.4199618311541</v>
      </c>
      <c r="J70" s="57">
        <f t="shared" si="41"/>
        <v>10715.76381327516</v>
      </c>
      <c r="K70" s="57">
        <f t="shared" si="41"/>
        <v>12819.038663360818</v>
      </c>
    </row>
    <row r="71" spans="1:13" ht="11.25" customHeight="1" x14ac:dyDescent="0.2">
      <c r="A71" s="27" t="s">
        <v>58</v>
      </c>
      <c r="B71" s="59">
        <f>(B44-B41)-(B56-B55)</f>
        <v>-163.05555555555475</v>
      </c>
      <c r="C71" s="59">
        <f t="shared" ref="C71:K71" si="42">(C44-C41)-(C56-C55)</f>
        <v>587.37266911008192</v>
      </c>
      <c r="D71" s="59">
        <f t="shared" si="42"/>
        <v>396.09591747443301</v>
      </c>
      <c r="E71" s="59">
        <f t="shared" si="42"/>
        <v>178.25623943474602</v>
      </c>
      <c r="F71" s="59">
        <f t="shared" si="42"/>
        <v>-63.425985527207558</v>
      </c>
      <c r="G71" s="59">
        <f t="shared" si="42"/>
        <v>-331.66910021560125</v>
      </c>
      <c r="H71" s="59">
        <f t="shared" si="42"/>
        <v>-629.24977375360959</v>
      </c>
      <c r="I71" s="59">
        <f t="shared" si="42"/>
        <v>-959.22841132458416</v>
      </c>
      <c r="J71" s="59">
        <f t="shared" si="42"/>
        <v>-1324.9791208461229</v>
      </c>
      <c r="K71" s="59">
        <f t="shared" si="42"/>
        <v>-1730.2215466033686</v>
      </c>
    </row>
    <row r="72" spans="1:13" ht="11.25" customHeight="1" x14ac:dyDescent="0.2">
      <c r="A72" s="27" t="s">
        <v>59</v>
      </c>
      <c r="B72" s="59">
        <f>B47</f>
        <v>50000</v>
      </c>
      <c r="C72" s="59">
        <f t="shared" ref="C72:K72" si="43">C47</f>
        <v>50000</v>
      </c>
      <c r="D72" s="59">
        <f t="shared" si="43"/>
        <v>50000</v>
      </c>
      <c r="E72" s="59">
        <f t="shared" si="43"/>
        <v>50000</v>
      </c>
      <c r="F72" s="59">
        <f t="shared" si="43"/>
        <v>50000</v>
      </c>
      <c r="G72" s="59">
        <f t="shared" si="43"/>
        <v>50000</v>
      </c>
      <c r="H72" s="59">
        <f t="shared" si="43"/>
        <v>50000</v>
      </c>
      <c r="I72" s="59">
        <f t="shared" si="43"/>
        <v>50000</v>
      </c>
      <c r="J72" s="59">
        <f t="shared" si="43"/>
        <v>50000</v>
      </c>
      <c r="K72" s="59">
        <f t="shared" si="43"/>
        <v>50000</v>
      </c>
    </row>
    <row r="73" spans="1:13" ht="11.25" customHeight="1" x14ac:dyDescent="0.2">
      <c r="A73" s="28" t="s">
        <v>60</v>
      </c>
      <c r="B73" s="58">
        <f>SUM(B70:B72)</f>
        <v>56618.75</v>
      </c>
      <c r="C73" s="58">
        <f t="shared" ref="C73:K73" si="44">SUM(C70:C72)</f>
        <v>55442.853615143489</v>
      </c>
      <c r="D73" s="58">
        <f t="shared" si="44"/>
        <v>55341.988017585936</v>
      </c>
      <c r="E73" s="58">
        <f t="shared" si="44"/>
        <v>55424.892505586467</v>
      </c>
      <c r="F73" s="58">
        <f t="shared" si="44"/>
        <v>55711.978949450888</v>
      </c>
      <c r="G73" s="58">
        <f t="shared" si="44"/>
        <v>56225.818012643089</v>
      </c>
      <c r="H73" s="58">
        <f t="shared" si="44"/>
        <v>56991.362180450422</v>
      </c>
      <c r="I73" s="58">
        <f t="shared" si="44"/>
        <v>58036.19155050657</v>
      </c>
      <c r="J73" s="58">
        <f t="shared" si="44"/>
        <v>59390.784692429035</v>
      </c>
      <c r="K73" s="58">
        <f t="shared" si="44"/>
        <v>61088.817116757447</v>
      </c>
    </row>
    <row r="74" spans="1:13" ht="11.25" customHeight="1" x14ac:dyDescent="0.2">
      <c r="A74" s="29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3" ht="11.25" customHeight="1" x14ac:dyDescent="0.2">
      <c r="A75" s="26" t="s">
        <v>61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3" ht="11.25" customHeight="1" x14ac:dyDescent="0.2">
      <c r="A76" s="27" t="s">
        <v>62</v>
      </c>
      <c r="B76" s="59">
        <f>B57</f>
        <v>22500</v>
      </c>
      <c r="C76" s="59">
        <f t="shared" ref="C76:K76" si="45">C57</f>
        <v>21088.228615143489</v>
      </c>
      <c r="D76" s="59">
        <f t="shared" si="45"/>
        <v>19535.280091801327</v>
      </c>
      <c r="E76" s="59">
        <f t="shared" si="45"/>
        <v>17827.036716124949</v>
      </c>
      <c r="F76" s="59">
        <f t="shared" si="45"/>
        <v>15947.969002880931</v>
      </c>
      <c r="G76" s="59">
        <f t="shared" si="45"/>
        <v>13880.994518312513</v>
      </c>
      <c r="H76" s="59">
        <f t="shared" si="45"/>
        <v>11607.322585287253</v>
      </c>
      <c r="I76" s="59">
        <f t="shared" si="45"/>
        <v>9106.2834589594659</v>
      </c>
      <c r="J76" s="59">
        <f t="shared" si="45"/>
        <v>6355.1404199989011</v>
      </c>
      <c r="K76" s="59">
        <f t="shared" si="45"/>
        <v>3328.8830771422799</v>
      </c>
      <c r="M76" s="11"/>
    </row>
    <row r="77" spans="1:13" ht="11.25" customHeight="1" x14ac:dyDescent="0.2">
      <c r="A77" s="27" t="s">
        <v>63</v>
      </c>
      <c r="B77" s="59">
        <f>B64</f>
        <v>34118.75</v>
      </c>
      <c r="C77" s="59">
        <f t="shared" ref="C77:K77" si="46">C64</f>
        <v>34354.625</v>
      </c>
      <c r="D77" s="59">
        <f t="shared" si="46"/>
        <v>35806.707925784605</v>
      </c>
      <c r="E77" s="59">
        <f t="shared" si="46"/>
        <v>37597.855789461515</v>
      </c>
      <c r="F77" s="59">
        <f t="shared" si="46"/>
        <v>39764.009946569953</v>
      </c>
      <c r="G77" s="59">
        <f t="shared" si="46"/>
        <v>42344.823494330572</v>
      </c>
      <c r="H77" s="59">
        <f t="shared" si="46"/>
        <v>45384.039595163173</v>
      </c>
      <c r="I77" s="59">
        <f t="shared" si="46"/>
        <v>48929.908091547106</v>
      </c>
      <c r="J77" s="59">
        <f t="shared" si="46"/>
        <v>53035.644272430131</v>
      </c>
      <c r="K77" s="59">
        <f t="shared" si="46"/>
        <v>57759.934039615182</v>
      </c>
    </row>
    <row r="78" spans="1:13" ht="11.25" customHeight="1" x14ac:dyDescent="0.2">
      <c r="A78" s="28" t="s">
        <v>64</v>
      </c>
      <c r="B78" s="58">
        <f>SUM(B75:B77)</f>
        <v>56618.75</v>
      </c>
      <c r="C78" s="58">
        <f t="shared" ref="C78:K78" si="47">SUM(C75:C77)</f>
        <v>55442.853615143489</v>
      </c>
      <c r="D78" s="58">
        <f t="shared" si="47"/>
        <v>55341.988017585929</v>
      </c>
      <c r="E78" s="58">
        <f t="shared" si="47"/>
        <v>55424.892505586467</v>
      </c>
      <c r="F78" s="58">
        <f t="shared" si="47"/>
        <v>55711.978949450888</v>
      </c>
      <c r="G78" s="58">
        <f t="shared" si="47"/>
        <v>56225.818012643082</v>
      </c>
      <c r="H78" s="58">
        <f t="shared" si="47"/>
        <v>56991.362180450422</v>
      </c>
      <c r="I78" s="58">
        <f t="shared" si="47"/>
        <v>58036.19155050657</v>
      </c>
      <c r="J78" s="58">
        <f t="shared" si="47"/>
        <v>59390.784692429035</v>
      </c>
      <c r="K78" s="58">
        <f t="shared" si="47"/>
        <v>61088.817116757462</v>
      </c>
    </row>
    <row r="79" spans="1:13" ht="11.25" customHeight="1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3" x14ac:dyDescent="0.2">
      <c r="A80" s="30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">
      <c r="A81" s="244" t="s">
        <v>78</v>
      </c>
      <c r="B81" s="114"/>
      <c r="C81" s="115"/>
      <c r="D81" s="115"/>
      <c r="E81" s="115"/>
      <c r="F81" s="227" t="s">
        <v>4</v>
      </c>
      <c r="G81" s="228"/>
      <c r="H81" s="115"/>
      <c r="I81" s="115"/>
      <c r="J81" s="115"/>
      <c r="K81" s="116"/>
    </row>
    <row r="82" spans="1:11" x14ac:dyDescent="0.2">
      <c r="A82" s="245"/>
      <c r="B82" s="91">
        <v>2010</v>
      </c>
      <c r="C82" s="91">
        <v>2011</v>
      </c>
      <c r="D82" s="91">
        <v>2012</v>
      </c>
      <c r="E82" s="91">
        <v>2013</v>
      </c>
      <c r="F82" s="91">
        <v>2014</v>
      </c>
      <c r="G82" s="91">
        <v>2015</v>
      </c>
      <c r="H82" s="91">
        <v>2016</v>
      </c>
      <c r="I82" s="91">
        <v>2017</v>
      </c>
      <c r="J82" s="91">
        <v>2018</v>
      </c>
      <c r="K82" s="91">
        <v>2019</v>
      </c>
    </row>
    <row r="83" spans="1:11" ht="11.25" customHeight="1" x14ac:dyDescent="0.2">
      <c r="A83" s="31" t="s">
        <v>79</v>
      </c>
      <c r="B83" s="33"/>
      <c r="C83" s="33"/>
      <c r="D83" s="33"/>
      <c r="E83" s="33"/>
      <c r="F83" s="33"/>
      <c r="G83" s="33"/>
      <c r="H83" s="33"/>
      <c r="I83" s="33"/>
      <c r="J83" s="33"/>
      <c r="K83" s="34"/>
    </row>
    <row r="84" spans="1:11" ht="11.25" customHeight="1" x14ac:dyDescent="0.2">
      <c r="A84" s="35" t="s">
        <v>80</v>
      </c>
      <c r="B84" s="51"/>
      <c r="C84" s="51"/>
      <c r="D84" s="51"/>
      <c r="E84" s="51"/>
      <c r="F84" s="51"/>
      <c r="G84" s="51"/>
      <c r="H84" s="51"/>
      <c r="I84" s="51"/>
      <c r="J84" s="51"/>
      <c r="K84" s="62"/>
    </row>
    <row r="85" spans="1:11" ht="11.25" customHeight="1" x14ac:dyDescent="0.2">
      <c r="A85" s="19" t="s">
        <v>81</v>
      </c>
      <c r="B85" s="92">
        <f>B10-B42</f>
        <v>22916.666666666668</v>
      </c>
      <c r="C85" s="117">
        <f>B42+C10-C42</f>
        <v>27291.666666666668</v>
      </c>
      <c r="D85" s="117">
        <f t="shared" ref="D85:K85" si="48">C42+D10-D42</f>
        <v>30020.833333333343</v>
      </c>
      <c r="E85" s="117">
        <f t="shared" si="48"/>
        <v>33022.916666666679</v>
      </c>
      <c r="F85" s="117">
        <f t="shared" si="48"/>
        <v>36325.208333333343</v>
      </c>
      <c r="G85" s="117">
        <f t="shared" si="48"/>
        <v>39957.729166666686</v>
      </c>
      <c r="H85" s="117">
        <f t="shared" si="48"/>
        <v>43953.502083333369</v>
      </c>
      <c r="I85" s="117">
        <f t="shared" si="48"/>
        <v>48348.852291666699</v>
      </c>
      <c r="J85" s="117">
        <f t="shared" si="48"/>
        <v>53183.737520833376</v>
      </c>
      <c r="K85" s="117">
        <f t="shared" si="48"/>
        <v>58502.111272916714</v>
      </c>
    </row>
    <row r="86" spans="1:11" ht="11.25" customHeight="1" x14ac:dyDescent="0.2">
      <c r="A86" s="19" t="s">
        <v>82</v>
      </c>
      <c r="B86" s="48"/>
      <c r="C86" s="48">
        <f>C11</f>
        <v>135.63611111111109</v>
      </c>
      <c r="D86" s="48">
        <f t="shared" ref="D86:K86" si="49">D11</f>
        <v>97.109618920668126</v>
      </c>
      <c r="E86" s="48">
        <f t="shared" si="49"/>
        <v>98.917842002230088</v>
      </c>
      <c r="F86" s="48">
        <f t="shared" si="49"/>
        <v>104.93272532303439</v>
      </c>
      <c r="G86" s="48">
        <f t="shared" si="49"/>
        <v>115.50809869956184</v>
      </c>
      <c r="H86" s="48">
        <f t="shared" si="49"/>
        <v>131.14974225717381</v>
      </c>
      <c r="I86" s="48">
        <f t="shared" si="49"/>
        <v>152.41223908408068</v>
      </c>
      <c r="J86" s="48">
        <f t="shared" si="49"/>
        <v>179.9083992366231</v>
      </c>
      <c r="K86" s="48">
        <f t="shared" si="49"/>
        <v>214.3152762655032</v>
      </c>
    </row>
    <row r="87" spans="1:11" ht="11.25" customHeight="1" x14ac:dyDescent="0.2">
      <c r="A87" s="36" t="s">
        <v>83</v>
      </c>
      <c r="B87" s="50">
        <f>SUM(B85:B86)</f>
        <v>22916.666666666668</v>
      </c>
      <c r="C87" s="118">
        <f>SUM(C85:C86)</f>
        <v>27427.302777777779</v>
      </c>
      <c r="D87" s="118">
        <f t="shared" ref="D87:K87" si="50">SUM(D85:D86)</f>
        <v>30117.942952254012</v>
      </c>
      <c r="E87" s="118">
        <f t="shared" si="50"/>
        <v>33121.834508668908</v>
      </c>
      <c r="F87" s="118">
        <f t="shared" si="50"/>
        <v>36430.14105865638</v>
      </c>
      <c r="G87" s="118">
        <f t="shared" si="50"/>
        <v>40073.237265366246</v>
      </c>
      <c r="H87" s="118">
        <f t="shared" si="50"/>
        <v>44084.651825590547</v>
      </c>
      <c r="I87" s="118">
        <f t="shared" si="50"/>
        <v>48501.264530750777</v>
      </c>
      <c r="J87" s="118">
        <f t="shared" si="50"/>
        <v>53363.645920069997</v>
      </c>
      <c r="K87" s="118">
        <f t="shared" si="50"/>
        <v>58716.426549182215</v>
      </c>
    </row>
    <row r="88" spans="1:11" ht="11.25" customHeight="1" x14ac:dyDescent="0.2">
      <c r="A88" s="35" t="s">
        <v>84</v>
      </c>
      <c r="B88" s="51"/>
      <c r="C88" s="62"/>
      <c r="D88" s="62"/>
      <c r="E88" s="62"/>
      <c r="F88" s="62"/>
      <c r="G88" s="51"/>
      <c r="H88" s="51"/>
      <c r="I88" s="51"/>
      <c r="J88" s="51"/>
      <c r="K88" s="62"/>
    </row>
    <row r="89" spans="1:11" ht="11.25" customHeight="1" x14ac:dyDescent="0.2">
      <c r="A89" s="19" t="s">
        <v>85</v>
      </c>
      <c r="B89" s="92">
        <f>B14-B51</f>
        <v>13454.861111111111</v>
      </c>
      <c r="C89" s="117">
        <f>B51+C14-C51</f>
        <v>16553.956002443414</v>
      </c>
      <c r="D89" s="117">
        <f t="shared" ref="D89:K89" si="51">C51+D14-D51</f>
        <v>18090.578413319403</v>
      </c>
      <c r="E89" s="117">
        <f t="shared" si="51"/>
        <v>19886.095429600369</v>
      </c>
      <c r="F89" s="117">
        <f t="shared" si="51"/>
        <v>21870.669087012691</v>
      </c>
      <c r="G89" s="117">
        <f t="shared" si="51"/>
        <v>24057.433580396442</v>
      </c>
      <c r="H89" s="117">
        <f t="shared" si="51"/>
        <v>26466.877746412585</v>
      </c>
      <c r="I89" s="117">
        <f t="shared" si="51"/>
        <v>29121.318365820436</v>
      </c>
      <c r="J89" s="117">
        <f t="shared" si="51"/>
        <v>32045.305513218769</v>
      </c>
      <c r="K89" s="117">
        <f t="shared" si="51"/>
        <v>35265.847239483352</v>
      </c>
    </row>
    <row r="90" spans="1:11" ht="11.25" customHeight="1" x14ac:dyDescent="0.2">
      <c r="A90" s="19" t="s">
        <v>142</v>
      </c>
      <c r="B90" s="92">
        <f>B18-B52</f>
        <v>1800</v>
      </c>
      <c r="C90" s="117">
        <f>B52+C18-C52</f>
        <v>2090</v>
      </c>
      <c r="D90" s="117">
        <f t="shared" ref="D90:K90" si="52">C52+D18-D52</f>
        <v>2194.5</v>
      </c>
      <c r="E90" s="117">
        <f t="shared" si="52"/>
        <v>2304.2249999999999</v>
      </c>
      <c r="F90" s="117">
        <f t="shared" si="52"/>
        <v>2419.4362500000002</v>
      </c>
      <c r="G90" s="117">
        <f t="shared" si="52"/>
        <v>2540.4080625000006</v>
      </c>
      <c r="H90" s="117">
        <f t="shared" si="52"/>
        <v>2667.4284656250011</v>
      </c>
      <c r="I90" s="117">
        <f t="shared" si="52"/>
        <v>2800.7998889062505</v>
      </c>
      <c r="J90" s="117">
        <f t="shared" si="52"/>
        <v>2940.8398833515639</v>
      </c>
      <c r="K90" s="117">
        <f t="shared" si="52"/>
        <v>3087.8818775191417</v>
      </c>
    </row>
    <row r="91" spans="1:11" ht="11.25" customHeight="1" x14ac:dyDescent="0.2">
      <c r="A91" s="19" t="s">
        <v>143</v>
      </c>
      <c r="B91" s="92">
        <f>B19-B53</f>
        <v>880</v>
      </c>
      <c r="C91" s="117">
        <f>B53+C19-C53</f>
        <v>1070.4000000000001</v>
      </c>
      <c r="D91" s="117">
        <f t="shared" ref="D91:K91" si="53">C53+D19-D53</f>
        <v>1156.0319999999999</v>
      </c>
      <c r="E91" s="117">
        <f t="shared" si="53"/>
        <v>1248.5145600000003</v>
      </c>
      <c r="F91" s="117">
        <f t="shared" si="53"/>
        <v>1348.3957248000004</v>
      </c>
      <c r="G91" s="117">
        <f t="shared" si="53"/>
        <v>1456.2673827840003</v>
      </c>
      <c r="H91" s="117">
        <f t="shared" si="53"/>
        <v>1572.7687734067206</v>
      </c>
      <c r="I91" s="117">
        <f t="shared" si="53"/>
        <v>1698.5902752792583</v>
      </c>
      <c r="J91" s="117">
        <f t="shared" si="53"/>
        <v>1834.477497301599</v>
      </c>
      <c r="K91" s="117">
        <f t="shared" si="53"/>
        <v>1981.2356970857272</v>
      </c>
    </row>
    <row r="92" spans="1:11" ht="11.25" customHeight="1" x14ac:dyDescent="0.2">
      <c r="A92" s="19" t="s">
        <v>144</v>
      </c>
      <c r="B92" s="92">
        <f>B25-B54</f>
        <v>0</v>
      </c>
      <c r="C92" s="117">
        <f>B54+C25-C54</f>
        <v>1631.2500000000002</v>
      </c>
      <c r="D92" s="117">
        <f t="shared" ref="D92:K92" si="54">C54+D25-D54</f>
        <v>1112.8750000000007</v>
      </c>
      <c r="E92" s="117">
        <f t="shared" si="54"/>
        <v>1493.4192127010501</v>
      </c>
      <c r="F92" s="117">
        <f t="shared" si="54"/>
        <v>1914.547371672204</v>
      </c>
      <c r="G92" s="117">
        <f t="shared" si="54"/>
        <v>2380.4631397904723</v>
      </c>
      <c r="H92" s="117">
        <f t="shared" si="54"/>
        <v>2895.7993129930692</v>
      </c>
      <c r="I92" s="117">
        <f t="shared" si="54"/>
        <v>3465.6612921908495</v>
      </c>
      <c r="J92" s="117">
        <f t="shared" si="54"/>
        <v>4095.6749399249829</v>
      </c>
      <c r="K92" s="117">
        <f t="shared" si="54"/>
        <v>4792.039262888472</v>
      </c>
    </row>
    <row r="93" spans="1:11" ht="11.25" customHeight="1" x14ac:dyDescent="0.2">
      <c r="A93" s="36" t="s">
        <v>86</v>
      </c>
      <c r="B93" s="50">
        <f>SUM(B89:B92)</f>
        <v>16134.861111111111</v>
      </c>
      <c r="C93" s="118">
        <f>SUM(C89:C92)</f>
        <v>21345.606002443415</v>
      </c>
      <c r="D93" s="118">
        <f t="shared" ref="D93:K93" si="55">SUM(D89:D92)</f>
        <v>22553.985413319402</v>
      </c>
      <c r="E93" s="118">
        <f t="shared" si="55"/>
        <v>24932.254202301418</v>
      </c>
      <c r="F93" s="118">
        <f t="shared" si="55"/>
        <v>27553.048433484895</v>
      </c>
      <c r="G93" s="118">
        <f t="shared" si="55"/>
        <v>30434.572165470912</v>
      </c>
      <c r="H93" s="118">
        <f t="shared" si="55"/>
        <v>33602.874298437382</v>
      </c>
      <c r="I93" s="118">
        <f t="shared" si="55"/>
        <v>37086.369822196801</v>
      </c>
      <c r="J93" s="118">
        <f t="shared" si="55"/>
        <v>40916.297833796911</v>
      </c>
      <c r="K93" s="118">
        <f t="shared" si="55"/>
        <v>45127.004076976693</v>
      </c>
    </row>
    <row r="94" spans="1:11" ht="11.25" customHeight="1" x14ac:dyDescent="0.2">
      <c r="A94" s="35" t="s">
        <v>87</v>
      </c>
      <c r="B94" s="51">
        <f>B87-B93</f>
        <v>6781.8055555555566</v>
      </c>
      <c r="C94" s="62">
        <f>C87-C93</f>
        <v>6081.6967753343633</v>
      </c>
      <c r="D94" s="62">
        <f t="shared" ref="D94:K94" si="56">D87-D93</f>
        <v>7563.9575389346101</v>
      </c>
      <c r="E94" s="62">
        <f t="shared" si="56"/>
        <v>8189.5803063674903</v>
      </c>
      <c r="F94" s="62">
        <f t="shared" si="56"/>
        <v>8877.0926251714845</v>
      </c>
      <c r="G94" s="62">
        <f t="shared" si="56"/>
        <v>9638.6650998953337</v>
      </c>
      <c r="H94" s="62">
        <f t="shared" si="56"/>
        <v>10481.777527153165</v>
      </c>
      <c r="I94" s="62">
        <f t="shared" si="56"/>
        <v>11414.894708553977</v>
      </c>
      <c r="J94" s="62">
        <f t="shared" si="56"/>
        <v>12447.348086273087</v>
      </c>
      <c r="K94" s="62">
        <f t="shared" si="56"/>
        <v>13589.422472205522</v>
      </c>
    </row>
    <row r="95" spans="1:11" ht="11.25" customHeight="1" x14ac:dyDescent="0.2">
      <c r="A95" s="19" t="s">
        <v>88</v>
      </c>
      <c r="B95" s="92">
        <f>B40</f>
        <v>1250</v>
      </c>
      <c r="C95" s="117">
        <f>C40-B40</f>
        <v>125.00000000000023</v>
      </c>
      <c r="D95" s="117">
        <f t="shared" ref="D95:K95" si="57">D40-C40</f>
        <v>137.50000000000023</v>
      </c>
      <c r="E95" s="117">
        <f t="shared" si="57"/>
        <v>151.25</v>
      </c>
      <c r="F95" s="117">
        <f t="shared" si="57"/>
        <v>166.37500000000045</v>
      </c>
      <c r="G95" s="117">
        <f t="shared" si="57"/>
        <v>183.01250000000027</v>
      </c>
      <c r="H95" s="117">
        <f t="shared" si="57"/>
        <v>201.31375000000025</v>
      </c>
      <c r="I95" s="117">
        <f t="shared" si="57"/>
        <v>221.44512500000019</v>
      </c>
      <c r="J95" s="117">
        <f t="shared" si="57"/>
        <v>243.58963750000066</v>
      </c>
      <c r="K95" s="117">
        <f t="shared" si="57"/>
        <v>267.94860125000059</v>
      </c>
    </row>
    <row r="96" spans="1:11" ht="11.25" customHeight="1" x14ac:dyDescent="0.2">
      <c r="A96" s="36" t="s">
        <v>89</v>
      </c>
      <c r="B96" s="50">
        <f>B94-B95</f>
        <v>5531.8055555555566</v>
      </c>
      <c r="C96" s="118">
        <f>C94-C95</f>
        <v>5956.6967753343633</v>
      </c>
      <c r="D96" s="118">
        <f t="shared" ref="D96:K96" si="58">D94-D95</f>
        <v>7426.4575389346101</v>
      </c>
      <c r="E96" s="118">
        <f t="shared" si="58"/>
        <v>8038.3303063674903</v>
      </c>
      <c r="F96" s="118">
        <f t="shared" si="58"/>
        <v>8710.7176251714845</v>
      </c>
      <c r="G96" s="118">
        <f t="shared" si="58"/>
        <v>9455.652599895333</v>
      </c>
      <c r="H96" s="118">
        <f t="shared" si="58"/>
        <v>10280.463777153163</v>
      </c>
      <c r="I96" s="118">
        <f t="shared" si="58"/>
        <v>11193.449583553976</v>
      </c>
      <c r="J96" s="118">
        <f t="shared" si="58"/>
        <v>12203.758448773086</v>
      </c>
      <c r="K96" s="118">
        <f t="shared" si="58"/>
        <v>13321.473870955522</v>
      </c>
    </row>
    <row r="97" spans="1:11" ht="11.25" customHeight="1" x14ac:dyDescent="0.2">
      <c r="B97" s="104"/>
      <c r="C97" s="56"/>
      <c r="D97" s="56"/>
      <c r="E97" s="56"/>
      <c r="F97" s="56"/>
      <c r="G97" s="56"/>
      <c r="H97" s="56"/>
      <c r="I97" s="56"/>
      <c r="J97" s="56"/>
      <c r="K97" s="56"/>
    </row>
    <row r="98" spans="1:11" ht="11.25" customHeight="1" x14ac:dyDescent="0.2">
      <c r="A98" s="31" t="s">
        <v>90</v>
      </c>
      <c r="B98" s="112"/>
      <c r="C98" s="65"/>
      <c r="D98" s="65"/>
      <c r="E98" s="65"/>
      <c r="F98" s="65"/>
      <c r="G98" s="65"/>
      <c r="H98" s="65"/>
      <c r="I98" s="65"/>
      <c r="J98" s="65"/>
      <c r="K98" s="66"/>
    </row>
    <row r="99" spans="1:11" ht="11.25" customHeight="1" x14ac:dyDescent="0.2">
      <c r="A99" s="19" t="s">
        <v>91</v>
      </c>
      <c r="B99" s="51"/>
      <c r="C99" s="51"/>
      <c r="D99" s="51"/>
      <c r="E99" s="51"/>
      <c r="F99" s="51"/>
      <c r="G99" s="51"/>
      <c r="H99" s="51"/>
      <c r="I99" s="51"/>
      <c r="J99" s="51"/>
      <c r="K99" s="63"/>
    </row>
    <row r="100" spans="1:11" ht="11.25" customHeight="1" x14ac:dyDescent="0.2">
      <c r="A100" s="19" t="s">
        <v>92</v>
      </c>
      <c r="B100" s="92">
        <f>B45</f>
        <v>52500</v>
      </c>
      <c r="C100" s="117">
        <f>C21</f>
        <v>2500</v>
      </c>
      <c r="D100" s="117">
        <f t="shared" ref="D100:K100" si="59">D21</f>
        <v>2500</v>
      </c>
      <c r="E100" s="117">
        <f t="shared" si="59"/>
        <v>2500</v>
      </c>
      <c r="F100" s="117">
        <f t="shared" si="59"/>
        <v>2500</v>
      </c>
      <c r="G100" s="117">
        <f t="shared" si="59"/>
        <v>2500</v>
      </c>
      <c r="H100" s="117">
        <f t="shared" si="59"/>
        <v>2500</v>
      </c>
      <c r="I100" s="117">
        <f t="shared" si="59"/>
        <v>2500</v>
      </c>
      <c r="J100" s="117">
        <f t="shared" si="59"/>
        <v>2500</v>
      </c>
      <c r="K100" s="117">
        <f t="shared" si="59"/>
        <v>2500</v>
      </c>
    </row>
    <row r="101" spans="1:11" ht="11.25" customHeight="1" x14ac:dyDescent="0.2">
      <c r="A101" s="37" t="s">
        <v>93</v>
      </c>
      <c r="B101" s="48">
        <f>B99-B100</f>
        <v>-52500</v>
      </c>
      <c r="C101" s="63">
        <f>C99-C100</f>
        <v>-2500</v>
      </c>
      <c r="D101" s="63">
        <f t="shared" ref="D101:K101" si="60">D99-D100</f>
        <v>-2500</v>
      </c>
      <c r="E101" s="63">
        <f t="shared" si="60"/>
        <v>-2500</v>
      </c>
      <c r="F101" s="63">
        <f t="shared" si="60"/>
        <v>-2500</v>
      </c>
      <c r="G101" s="63">
        <f t="shared" si="60"/>
        <v>-2500</v>
      </c>
      <c r="H101" s="63">
        <f t="shared" si="60"/>
        <v>-2500</v>
      </c>
      <c r="I101" s="63">
        <f t="shared" si="60"/>
        <v>-2500</v>
      </c>
      <c r="J101" s="63">
        <f t="shared" si="60"/>
        <v>-2500</v>
      </c>
      <c r="K101" s="63">
        <f t="shared" si="60"/>
        <v>-2500</v>
      </c>
    </row>
    <row r="102" spans="1:11" ht="11.25" customHeight="1" x14ac:dyDescent="0.2">
      <c r="A102" s="31" t="s">
        <v>94</v>
      </c>
      <c r="B102" s="67">
        <f>B96+B101</f>
        <v>-46968.194444444445</v>
      </c>
      <c r="C102" s="119">
        <f>C96+C101</f>
        <v>3456.6967753343633</v>
      </c>
      <c r="D102" s="119">
        <f t="shared" ref="D102:K102" si="61">D96+D101</f>
        <v>4926.4575389346101</v>
      </c>
      <c r="E102" s="119">
        <f t="shared" si="61"/>
        <v>5538.3303063674903</v>
      </c>
      <c r="F102" s="119">
        <f t="shared" si="61"/>
        <v>6210.7176251714845</v>
      </c>
      <c r="G102" s="119">
        <f t="shared" si="61"/>
        <v>6955.652599895333</v>
      </c>
      <c r="H102" s="119">
        <f t="shared" si="61"/>
        <v>7780.4637771531634</v>
      </c>
      <c r="I102" s="119">
        <f t="shared" si="61"/>
        <v>8693.4495835539765</v>
      </c>
      <c r="J102" s="119">
        <f t="shared" si="61"/>
        <v>9703.7584487730855</v>
      </c>
      <c r="K102" s="119">
        <f t="shared" si="61"/>
        <v>10821.473870955522</v>
      </c>
    </row>
    <row r="103" spans="1:11" ht="11.25" customHeight="1" x14ac:dyDescent="0.2">
      <c r="B103" s="104"/>
      <c r="C103" s="104"/>
      <c r="D103" s="104"/>
      <c r="E103" s="104"/>
      <c r="F103" s="56"/>
      <c r="G103" s="56"/>
      <c r="H103" s="56"/>
      <c r="I103" s="56"/>
      <c r="J103" s="56"/>
      <c r="K103" s="56"/>
    </row>
    <row r="104" spans="1:11" x14ac:dyDescent="0.2">
      <c r="A104" s="31" t="s">
        <v>95</v>
      </c>
      <c r="B104" s="113"/>
      <c r="C104" s="56">
        <v>1</v>
      </c>
      <c r="D104" s="56">
        <v>2</v>
      </c>
      <c r="E104" s="56">
        <v>3</v>
      </c>
      <c r="F104" s="56">
        <v>4</v>
      </c>
      <c r="G104" s="56">
        <v>5</v>
      </c>
      <c r="H104" s="56">
        <v>6</v>
      </c>
      <c r="I104" s="56">
        <v>7</v>
      </c>
      <c r="J104" s="56">
        <v>8</v>
      </c>
      <c r="K104" s="56">
        <v>9</v>
      </c>
    </row>
    <row r="105" spans="1:11" x14ac:dyDescent="0.2">
      <c r="A105" s="35" t="s">
        <v>43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62"/>
    </row>
    <row r="106" spans="1:11" x14ac:dyDescent="0.2">
      <c r="A106" s="19" t="s">
        <v>96</v>
      </c>
      <c r="B106" s="48">
        <f>B57</f>
        <v>22500</v>
      </c>
      <c r="C106" s="48"/>
      <c r="D106" s="48"/>
      <c r="E106" s="48"/>
      <c r="F106" s="48"/>
      <c r="G106" s="48"/>
      <c r="H106" s="48"/>
      <c r="I106" s="48"/>
      <c r="J106" s="48"/>
      <c r="K106" s="63"/>
    </row>
    <row r="107" spans="1:11" x14ac:dyDescent="0.2">
      <c r="A107" s="19" t="s">
        <v>97</v>
      </c>
      <c r="B107" s="92"/>
      <c r="C107" s="117">
        <f>PPMT(10%,C104,10,-$B$106)</f>
        <v>1411.7713848565115</v>
      </c>
      <c r="D107" s="117">
        <f t="shared" ref="D107:K107" si="62">PPMT(10%,D104,10,-$B$106)</f>
        <v>1552.9485233421626</v>
      </c>
      <c r="E107" s="117">
        <f t="shared" si="62"/>
        <v>1708.2433756763789</v>
      </c>
      <c r="F107" s="117">
        <f t="shared" si="62"/>
        <v>1879.0677132440169</v>
      </c>
      <c r="G107" s="117">
        <f t="shared" si="62"/>
        <v>2066.9744845684181</v>
      </c>
      <c r="H107" s="117">
        <f t="shared" si="62"/>
        <v>2273.6719330252599</v>
      </c>
      <c r="I107" s="117">
        <f t="shared" si="62"/>
        <v>2501.0391263277866</v>
      </c>
      <c r="J107" s="117">
        <f t="shared" si="62"/>
        <v>2751.1430389605648</v>
      </c>
      <c r="K107" s="117">
        <f t="shared" si="62"/>
        <v>3026.2573428566211</v>
      </c>
    </row>
    <row r="108" spans="1:11" x14ac:dyDescent="0.2">
      <c r="A108" s="19" t="s">
        <v>98</v>
      </c>
      <c r="B108" s="48"/>
      <c r="C108" s="63">
        <f>C23</f>
        <v>2250</v>
      </c>
      <c r="D108" s="63">
        <f t="shared" ref="D108:K108" si="63">D23</f>
        <v>2108.8228615143489</v>
      </c>
      <c r="E108" s="63">
        <f t="shared" si="63"/>
        <v>1953.5280091801328</v>
      </c>
      <c r="F108" s="63">
        <f t="shared" si="63"/>
        <v>1782.7036716124949</v>
      </c>
      <c r="G108" s="63">
        <f t="shared" si="63"/>
        <v>1594.7969002880932</v>
      </c>
      <c r="H108" s="63">
        <f t="shared" si="63"/>
        <v>1388.0994518312514</v>
      </c>
      <c r="I108" s="63">
        <f t="shared" si="63"/>
        <v>1160.7322585287254</v>
      </c>
      <c r="J108" s="63">
        <f t="shared" si="63"/>
        <v>910.62834589594661</v>
      </c>
      <c r="K108" s="63">
        <f t="shared" si="63"/>
        <v>635.5140419998902</v>
      </c>
    </row>
    <row r="109" spans="1:11" x14ac:dyDescent="0.2">
      <c r="A109" s="36" t="s">
        <v>99</v>
      </c>
      <c r="B109" s="50">
        <f>B108+B107-B106</f>
        <v>-22500</v>
      </c>
      <c r="C109" s="50">
        <f t="shared" ref="C109:K109" si="64">C108+C107-C106</f>
        <v>3661.7713848565118</v>
      </c>
      <c r="D109" s="50">
        <f t="shared" si="64"/>
        <v>3661.7713848565118</v>
      </c>
      <c r="E109" s="50">
        <f t="shared" si="64"/>
        <v>3661.7713848565118</v>
      </c>
      <c r="F109" s="50">
        <f t="shared" si="64"/>
        <v>3661.7713848565118</v>
      </c>
      <c r="G109" s="50">
        <f t="shared" si="64"/>
        <v>3661.7713848565113</v>
      </c>
      <c r="H109" s="50">
        <f t="shared" si="64"/>
        <v>3661.7713848565113</v>
      </c>
      <c r="I109" s="50">
        <f t="shared" si="64"/>
        <v>3661.7713848565118</v>
      </c>
      <c r="J109" s="50">
        <f t="shared" si="64"/>
        <v>3661.7713848565113</v>
      </c>
      <c r="K109" s="50">
        <f t="shared" si="64"/>
        <v>3661.7713848565113</v>
      </c>
    </row>
    <row r="110" spans="1:11" x14ac:dyDescent="0.2">
      <c r="A110" s="37" t="s">
        <v>50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63"/>
    </row>
    <row r="111" spans="1:11" x14ac:dyDescent="0.2">
      <c r="A111" s="19" t="s">
        <v>100</v>
      </c>
      <c r="B111" s="49">
        <f>B61</f>
        <v>31250</v>
      </c>
      <c r="C111" s="49"/>
      <c r="D111" s="49"/>
      <c r="E111" s="49"/>
      <c r="F111" s="49"/>
      <c r="G111" s="49"/>
      <c r="H111" s="49"/>
      <c r="I111" s="49"/>
      <c r="J111" s="49"/>
      <c r="K111" s="95"/>
    </row>
    <row r="112" spans="1:11" x14ac:dyDescent="0.2">
      <c r="A112" s="19" t="s">
        <v>101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63"/>
    </row>
    <row r="113" spans="1:12" x14ac:dyDescent="0.2">
      <c r="A113" s="19" t="s">
        <v>102</v>
      </c>
      <c r="B113" s="48"/>
      <c r="C113" s="63">
        <f>B27</f>
        <v>1721.25</v>
      </c>
      <c r="D113" s="63">
        <f t="shared" ref="D113:K113" si="65">C27</f>
        <v>1174.2750000000005</v>
      </c>
      <c r="E113" s="63">
        <f t="shared" si="65"/>
        <v>1575.814755470763</v>
      </c>
      <c r="F113" s="63">
        <f t="shared" si="65"/>
        <v>2020.1775714886007</v>
      </c>
      <c r="G113" s="63">
        <f t="shared" si="65"/>
        <v>2511.7990371582232</v>
      </c>
      <c r="H113" s="63">
        <f t="shared" si="65"/>
        <v>3055.567550951308</v>
      </c>
      <c r="I113" s="63">
        <f t="shared" si="65"/>
        <v>3656.8701910703453</v>
      </c>
      <c r="J113" s="63">
        <f t="shared" si="65"/>
        <v>4321.6432124725679</v>
      </c>
      <c r="K113" s="63">
        <f t="shared" si="65"/>
        <v>5056.4276360133535</v>
      </c>
    </row>
    <row r="114" spans="1:12" x14ac:dyDescent="0.2">
      <c r="A114" s="36" t="s">
        <v>103</v>
      </c>
      <c r="B114" s="48">
        <f>B113+B112-B111</f>
        <v>-31250</v>
      </c>
      <c r="C114" s="63">
        <f>C113+C112-C111</f>
        <v>1721.25</v>
      </c>
      <c r="D114" s="63">
        <f t="shared" ref="D114:K114" si="66">D113+D112-D111</f>
        <v>1174.2750000000005</v>
      </c>
      <c r="E114" s="63">
        <f t="shared" si="66"/>
        <v>1575.814755470763</v>
      </c>
      <c r="F114" s="63">
        <f t="shared" si="66"/>
        <v>2020.1775714886007</v>
      </c>
      <c r="G114" s="63">
        <f t="shared" si="66"/>
        <v>2511.7990371582232</v>
      </c>
      <c r="H114" s="63">
        <f t="shared" si="66"/>
        <v>3055.567550951308</v>
      </c>
      <c r="I114" s="63">
        <f t="shared" si="66"/>
        <v>3656.8701910703453</v>
      </c>
      <c r="J114" s="63">
        <f t="shared" si="66"/>
        <v>4321.6432124725679</v>
      </c>
      <c r="K114" s="63">
        <f t="shared" si="66"/>
        <v>5056.4276360133535</v>
      </c>
    </row>
    <row r="115" spans="1:12" x14ac:dyDescent="0.2">
      <c r="A115" s="31" t="s">
        <v>104</v>
      </c>
      <c r="B115" s="67">
        <f>B109+B114</f>
        <v>-53750</v>
      </c>
      <c r="C115" s="119">
        <f>C109+C114</f>
        <v>5383.0213848565118</v>
      </c>
      <c r="D115" s="119">
        <f t="shared" ref="D115:K115" si="67">D109+D114</f>
        <v>4836.0463848565123</v>
      </c>
      <c r="E115" s="119">
        <f t="shared" si="67"/>
        <v>5237.5861403272747</v>
      </c>
      <c r="F115" s="119">
        <f t="shared" si="67"/>
        <v>5681.9489563451125</v>
      </c>
      <c r="G115" s="119">
        <f t="shared" si="67"/>
        <v>6173.5704220147345</v>
      </c>
      <c r="H115" s="119">
        <f t="shared" si="67"/>
        <v>6717.3389358078193</v>
      </c>
      <c r="I115" s="119">
        <f t="shared" si="67"/>
        <v>7318.6415759268566</v>
      </c>
      <c r="J115" s="119">
        <f t="shared" si="67"/>
        <v>7983.4145973290797</v>
      </c>
      <c r="K115" s="119">
        <f t="shared" si="67"/>
        <v>8718.1990208698644</v>
      </c>
    </row>
    <row r="116" spans="1:12" x14ac:dyDescent="0.2">
      <c r="B116" s="112"/>
      <c r="C116" s="122"/>
      <c r="D116" s="122"/>
      <c r="E116" s="122"/>
      <c r="F116" s="65"/>
      <c r="G116" s="56"/>
      <c r="H116" s="56"/>
      <c r="I116" s="56"/>
      <c r="J116" s="56"/>
      <c r="K116" s="56"/>
      <c r="L116" s="121"/>
    </row>
    <row r="117" spans="1:12" x14ac:dyDescent="0.2">
      <c r="A117" s="39" t="s">
        <v>105</v>
      </c>
      <c r="B117" s="51">
        <f>B102-B115</f>
        <v>6781.8055555555547</v>
      </c>
      <c r="C117" s="62">
        <f>C102-C115</f>
        <v>-1926.3246095221484</v>
      </c>
      <c r="D117" s="62">
        <f t="shared" ref="D117:K117" si="68">D102-D115</f>
        <v>90.411154078097752</v>
      </c>
      <c r="E117" s="62">
        <f t="shared" si="68"/>
        <v>300.74416604021553</v>
      </c>
      <c r="F117" s="62">
        <f t="shared" si="68"/>
        <v>528.76866882637205</v>
      </c>
      <c r="G117" s="62">
        <f t="shared" si="68"/>
        <v>782.08217788059846</v>
      </c>
      <c r="H117" s="62">
        <f t="shared" si="68"/>
        <v>1063.1248413453441</v>
      </c>
      <c r="I117" s="62">
        <f t="shared" si="68"/>
        <v>1374.8080076271199</v>
      </c>
      <c r="J117" s="62">
        <f t="shared" si="68"/>
        <v>1720.3438514440058</v>
      </c>
      <c r="K117" s="62">
        <f t="shared" si="68"/>
        <v>2103.2748500856578</v>
      </c>
    </row>
    <row r="118" spans="1:12" x14ac:dyDescent="0.2">
      <c r="A118" s="36" t="s">
        <v>106</v>
      </c>
      <c r="B118" s="71">
        <f>B117</f>
        <v>6781.8055555555547</v>
      </c>
      <c r="C118" s="120">
        <f>B118+C117</f>
        <v>4855.4809460334063</v>
      </c>
      <c r="D118" s="120">
        <f t="shared" ref="D118:K118" si="69">C118+D117</f>
        <v>4945.8921001115041</v>
      </c>
      <c r="E118" s="120">
        <f t="shared" si="69"/>
        <v>5246.6362661517196</v>
      </c>
      <c r="F118" s="120">
        <f t="shared" si="69"/>
        <v>5775.4049349780917</v>
      </c>
      <c r="G118" s="120">
        <f t="shared" si="69"/>
        <v>6557.4871128586901</v>
      </c>
      <c r="H118" s="120">
        <f t="shared" si="69"/>
        <v>7620.6119542040342</v>
      </c>
      <c r="I118" s="120">
        <f t="shared" si="69"/>
        <v>8995.4199618311541</v>
      </c>
      <c r="J118" s="120">
        <f t="shared" si="69"/>
        <v>10715.76381327516</v>
      </c>
      <c r="K118" s="120">
        <f t="shared" si="69"/>
        <v>12819.038663360818</v>
      </c>
    </row>
    <row r="119" spans="1:12" x14ac:dyDescent="0.2">
      <c r="A119" s="30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2" x14ac:dyDescent="0.2">
      <c r="A120" s="30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2" x14ac:dyDescent="0.2">
      <c r="A121" s="230" t="s">
        <v>107</v>
      </c>
      <c r="B121" s="227" t="s">
        <v>4</v>
      </c>
      <c r="C121" s="228"/>
      <c r="D121" s="228"/>
      <c r="E121" s="228"/>
      <c r="F121" s="228"/>
      <c r="G121" s="228"/>
      <c r="H121" s="228"/>
      <c r="I121" s="228"/>
      <c r="J121" s="228"/>
      <c r="K121" s="229"/>
    </row>
    <row r="122" spans="1:12" x14ac:dyDescent="0.2">
      <c r="A122" s="231"/>
      <c r="B122" s="91">
        <v>2010</v>
      </c>
      <c r="C122" s="91">
        <v>2011</v>
      </c>
      <c r="D122" s="91">
        <v>2012</v>
      </c>
      <c r="E122" s="91">
        <v>2013</v>
      </c>
      <c r="F122" s="91">
        <v>2014</v>
      </c>
      <c r="G122" s="91">
        <v>2015</v>
      </c>
      <c r="H122" s="91">
        <v>2016</v>
      </c>
      <c r="I122" s="91">
        <v>2017</v>
      </c>
      <c r="J122" s="91">
        <v>2018</v>
      </c>
      <c r="K122" s="91">
        <v>2019</v>
      </c>
    </row>
    <row r="123" spans="1:12" x14ac:dyDescent="0.2">
      <c r="A123" s="40" t="s">
        <v>108</v>
      </c>
      <c r="B123" s="80">
        <f>B96</f>
        <v>5531.8055555555566</v>
      </c>
      <c r="C123" s="80">
        <f t="shared" ref="C123:K123" si="70">C96</f>
        <v>5956.6967753343633</v>
      </c>
      <c r="D123" s="80">
        <f t="shared" si="70"/>
        <v>7426.4575389346101</v>
      </c>
      <c r="E123" s="80">
        <f t="shared" si="70"/>
        <v>8038.3303063674903</v>
      </c>
      <c r="F123" s="80">
        <f t="shared" si="70"/>
        <v>8710.7176251714845</v>
      </c>
      <c r="G123" s="80">
        <f t="shared" si="70"/>
        <v>9455.652599895333</v>
      </c>
      <c r="H123" s="80">
        <f t="shared" si="70"/>
        <v>10280.463777153163</v>
      </c>
      <c r="I123" s="80">
        <f t="shared" si="70"/>
        <v>11193.449583553976</v>
      </c>
      <c r="J123" s="80">
        <f t="shared" si="70"/>
        <v>12203.758448773086</v>
      </c>
      <c r="K123" s="80">
        <f t="shared" si="70"/>
        <v>13321.473870955522</v>
      </c>
    </row>
    <row r="124" spans="1:12" x14ac:dyDescent="0.2">
      <c r="A124" s="41" t="s">
        <v>109</v>
      </c>
      <c r="B124" s="81">
        <f>B101</f>
        <v>-52500</v>
      </c>
      <c r="C124" s="81">
        <f t="shared" ref="C124:K124" si="71">C101</f>
        <v>-2500</v>
      </c>
      <c r="D124" s="81">
        <f t="shared" si="71"/>
        <v>-2500</v>
      </c>
      <c r="E124" s="81">
        <f t="shared" si="71"/>
        <v>-2500</v>
      </c>
      <c r="F124" s="81">
        <f t="shared" si="71"/>
        <v>-2500</v>
      </c>
      <c r="G124" s="81">
        <f t="shared" si="71"/>
        <v>-2500</v>
      </c>
      <c r="H124" s="81">
        <f t="shared" si="71"/>
        <v>-2500</v>
      </c>
      <c r="I124" s="81">
        <f t="shared" si="71"/>
        <v>-2500</v>
      </c>
      <c r="J124" s="81">
        <f t="shared" si="71"/>
        <v>-2500</v>
      </c>
      <c r="K124" s="81">
        <f t="shared" si="71"/>
        <v>-2500</v>
      </c>
    </row>
    <row r="125" spans="1:12" x14ac:dyDescent="0.2">
      <c r="A125" s="28" t="s">
        <v>110</v>
      </c>
      <c r="B125" s="82">
        <f>SUM(B123:B124)</f>
        <v>-46968.194444444445</v>
      </c>
      <c r="C125" s="82">
        <f t="shared" ref="C125:K125" si="72">SUM(C123:C124)</f>
        <v>3456.6967753343633</v>
      </c>
      <c r="D125" s="82">
        <f t="shared" si="72"/>
        <v>4926.4575389346101</v>
      </c>
      <c r="E125" s="82">
        <f t="shared" si="72"/>
        <v>5538.3303063674903</v>
      </c>
      <c r="F125" s="82">
        <f t="shared" si="72"/>
        <v>6210.7176251714845</v>
      </c>
      <c r="G125" s="82">
        <f t="shared" si="72"/>
        <v>6955.652599895333</v>
      </c>
      <c r="H125" s="82">
        <f t="shared" si="72"/>
        <v>7780.4637771531634</v>
      </c>
      <c r="I125" s="82">
        <f t="shared" si="72"/>
        <v>8693.4495835539765</v>
      </c>
      <c r="J125" s="82">
        <f t="shared" si="72"/>
        <v>9703.7584487730855</v>
      </c>
      <c r="K125" s="82">
        <f t="shared" si="72"/>
        <v>10821.473870955522</v>
      </c>
    </row>
    <row r="126" spans="1:12" x14ac:dyDescent="0.2">
      <c r="A126" s="30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2" x14ac:dyDescent="0.2">
      <c r="A127" s="40" t="s">
        <v>111</v>
      </c>
      <c r="B127" s="80">
        <f>B109</f>
        <v>-22500</v>
      </c>
      <c r="C127" s="80">
        <f t="shared" ref="C127:K127" si="73">C109</f>
        <v>3661.7713848565118</v>
      </c>
      <c r="D127" s="80">
        <f t="shared" si="73"/>
        <v>3661.7713848565118</v>
      </c>
      <c r="E127" s="80">
        <f t="shared" si="73"/>
        <v>3661.7713848565118</v>
      </c>
      <c r="F127" s="80">
        <f t="shared" si="73"/>
        <v>3661.7713848565118</v>
      </c>
      <c r="G127" s="80">
        <f t="shared" si="73"/>
        <v>3661.7713848565113</v>
      </c>
      <c r="H127" s="80">
        <f t="shared" si="73"/>
        <v>3661.7713848565113</v>
      </c>
      <c r="I127" s="80">
        <f t="shared" si="73"/>
        <v>3661.7713848565118</v>
      </c>
      <c r="J127" s="80">
        <f t="shared" si="73"/>
        <v>3661.7713848565113</v>
      </c>
      <c r="K127" s="51">
        <f t="shared" si="73"/>
        <v>3661.7713848565113</v>
      </c>
    </row>
    <row r="128" spans="1:12" x14ac:dyDescent="0.2">
      <c r="A128" s="41" t="s">
        <v>112</v>
      </c>
      <c r="B128" s="81">
        <f>B114</f>
        <v>-31250</v>
      </c>
      <c r="C128" s="81">
        <f t="shared" ref="C128:K128" si="74">C114</f>
        <v>1721.25</v>
      </c>
      <c r="D128" s="81">
        <f t="shared" si="74"/>
        <v>1174.2750000000005</v>
      </c>
      <c r="E128" s="81">
        <f t="shared" si="74"/>
        <v>1575.814755470763</v>
      </c>
      <c r="F128" s="81">
        <f t="shared" si="74"/>
        <v>2020.1775714886007</v>
      </c>
      <c r="G128" s="81">
        <f t="shared" si="74"/>
        <v>2511.7990371582232</v>
      </c>
      <c r="H128" s="81">
        <f t="shared" si="74"/>
        <v>3055.567550951308</v>
      </c>
      <c r="I128" s="81">
        <f t="shared" si="74"/>
        <v>3656.8701910703453</v>
      </c>
      <c r="J128" s="81">
        <f t="shared" si="74"/>
        <v>4321.6432124725679</v>
      </c>
      <c r="K128" s="48">
        <f t="shared" si="74"/>
        <v>5056.4276360133535</v>
      </c>
    </row>
    <row r="129" spans="1:11" x14ac:dyDescent="0.2">
      <c r="A129" s="28" t="s">
        <v>113</v>
      </c>
      <c r="B129" s="82">
        <f>SUM(B127:B128)</f>
        <v>-53750</v>
      </c>
      <c r="C129" s="82">
        <f t="shared" ref="C129:K129" si="75">SUM(C127:C128)</f>
        <v>5383.0213848565118</v>
      </c>
      <c r="D129" s="82">
        <f t="shared" si="75"/>
        <v>4836.0463848565123</v>
      </c>
      <c r="E129" s="82">
        <f t="shared" si="75"/>
        <v>5237.5861403272747</v>
      </c>
      <c r="F129" s="82">
        <f t="shared" si="75"/>
        <v>5681.9489563451125</v>
      </c>
      <c r="G129" s="82">
        <f t="shared" si="75"/>
        <v>6173.5704220147345</v>
      </c>
      <c r="H129" s="82">
        <f t="shared" si="75"/>
        <v>6717.3389358078193</v>
      </c>
      <c r="I129" s="82">
        <f t="shared" si="75"/>
        <v>7318.6415759268566</v>
      </c>
      <c r="J129" s="82">
        <f t="shared" si="75"/>
        <v>7983.4145973290797</v>
      </c>
      <c r="K129" s="67">
        <f t="shared" si="75"/>
        <v>8718.1990208698644</v>
      </c>
    </row>
    <row r="130" spans="1:11" x14ac:dyDescent="0.2">
      <c r="A130" s="30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x14ac:dyDescent="0.2">
      <c r="A131" s="40" t="s">
        <v>114</v>
      </c>
      <c r="B131" s="80">
        <f>B125-B129</f>
        <v>6781.8055555555547</v>
      </c>
      <c r="C131" s="80">
        <f t="shared" ref="C131:K131" si="76">C125-C129</f>
        <v>-1926.3246095221484</v>
      </c>
      <c r="D131" s="80">
        <f t="shared" si="76"/>
        <v>90.411154078097752</v>
      </c>
      <c r="E131" s="80">
        <f t="shared" si="76"/>
        <v>300.74416604021553</v>
      </c>
      <c r="F131" s="80">
        <f t="shared" si="76"/>
        <v>528.76866882637205</v>
      </c>
      <c r="G131" s="80">
        <f t="shared" si="76"/>
        <v>782.08217788059846</v>
      </c>
      <c r="H131" s="80">
        <f t="shared" si="76"/>
        <v>1063.1248413453441</v>
      </c>
      <c r="I131" s="80">
        <f t="shared" si="76"/>
        <v>1374.8080076271199</v>
      </c>
      <c r="J131" s="80">
        <f t="shared" si="76"/>
        <v>1720.3438514440058</v>
      </c>
      <c r="K131" s="80">
        <f t="shared" si="76"/>
        <v>2103.2748500856578</v>
      </c>
    </row>
    <row r="132" spans="1:11" x14ac:dyDescent="0.2">
      <c r="A132" s="42" t="s">
        <v>115</v>
      </c>
      <c r="B132" s="71">
        <f>B131</f>
        <v>6781.8055555555547</v>
      </c>
      <c r="C132" s="71">
        <f>B132+C131</f>
        <v>4855.4809460334063</v>
      </c>
      <c r="D132" s="71">
        <f t="shared" ref="D132:K132" si="77">C132+D131</f>
        <v>4945.8921001115041</v>
      </c>
      <c r="E132" s="71">
        <f t="shared" si="77"/>
        <v>5246.6362661517196</v>
      </c>
      <c r="F132" s="71">
        <f t="shared" si="77"/>
        <v>5775.4049349780917</v>
      </c>
      <c r="G132" s="71">
        <f t="shared" si="77"/>
        <v>6557.4871128586901</v>
      </c>
      <c r="H132" s="71">
        <f t="shared" si="77"/>
        <v>7620.6119542040342</v>
      </c>
      <c r="I132" s="71">
        <f t="shared" si="77"/>
        <v>8995.4199618311541</v>
      </c>
      <c r="J132" s="71">
        <f t="shared" si="77"/>
        <v>10715.76381327516</v>
      </c>
      <c r="K132" s="71">
        <f t="shared" si="77"/>
        <v>12819.038663360818</v>
      </c>
    </row>
    <row r="133" spans="1:11" x14ac:dyDescent="0.2">
      <c r="A133" s="30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">
      <c r="A134" s="1" t="s">
        <v>65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">
      <c r="A135" s="30" t="s">
        <v>58</v>
      </c>
      <c r="B135" s="60">
        <f>B71</f>
        <v>-163.05555555555475</v>
      </c>
      <c r="C135" s="60">
        <f t="shared" ref="C135:K135" si="78">C71</f>
        <v>587.37266911008192</v>
      </c>
      <c r="D135" s="60">
        <f t="shared" si="78"/>
        <v>396.09591747443301</v>
      </c>
      <c r="E135" s="60">
        <f t="shared" si="78"/>
        <v>178.25623943474602</v>
      </c>
      <c r="F135" s="60">
        <f t="shared" si="78"/>
        <v>-63.425985527207558</v>
      </c>
      <c r="G135" s="60">
        <f t="shared" si="78"/>
        <v>-331.66910021560125</v>
      </c>
      <c r="H135" s="60">
        <f t="shared" si="78"/>
        <v>-629.24977375360959</v>
      </c>
      <c r="I135" s="60">
        <f t="shared" si="78"/>
        <v>-959.22841132458416</v>
      </c>
      <c r="J135" s="60">
        <f t="shared" si="78"/>
        <v>-1324.9791208461229</v>
      </c>
      <c r="K135" s="60">
        <f t="shared" si="78"/>
        <v>-1730.2215466033686</v>
      </c>
    </row>
    <row r="136" spans="1:11" x14ac:dyDescent="0.2">
      <c r="A136" s="30" t="s">
        <v>66</v>
      </c>
      <c r="B136" s="61">
        <f>B76+B77-B72</f>
        <v>6618.75</v>
      </c>
      <c r="C136" s="61">
        <f t="shared" ref="C136:K136" si="79">C76+C77-C72</f>
        <v>5442.8536151434892</v>
      </c>
      <c r="D136" s="61">
        <f t="shared" si="79"/>
        <v>5341.9880175859289</v>
      </c>
      <c r="E136" s="61">
        <f t="shared" si="79"/>
        <v>5424.8925055864675</v>
      </c>
      <c r="F136" s="61">
        <f t="shared" si="79"/>
        <v>5711.9789494508877</v>
      </c>
      <c r="G136" s="61">
        <f t="shared" si="79"/>
        <v>6225.8180126430816</v>
      </c>
      <c r="H136" s="61">
        <f t="shared" si="79"/>
        <v>6991.3621804504219</v>
      </c>
      <c r="I136" s="61">
        <f t="shared" si="79"/>
        <v>8036.1915505065699</v>
      </c>
      <c r="J136" s="61">
        <f t="shared" si="79"/>
        <v>9390.7846924290352</v>
      </c>
      <c r="K136" s="61">
        <f t="shared" si="79"/>
        <v>11088.817116757462</v>
      </c>
    </row>
    <row r="137" spans="1:11" x14ac:dyDescent="0.2">
      <c r="A137" s="30" t="s">
        <v>67</v>
      </c>
      <c r="B137" s="56">
        <f>MAX(B136-B135,0)</f>
        <v>6781.8055555555547</v>
      </c>
      <c r="C137" s="56">
        <f t="shared" ref="C137:K137" si="80">MAX(C136-C135,0)</f>
        <v>4855.4809460334072</v>
      </c>
      <c r="D137" s="56">
        <f t="shared" si="80"/>
        <v>4945.8921001114959</v>
      </c>
      <c r="E137" s="56">
        <f t="shared" si="80"/>
        <v>5246.6362661517214</v>
      </c>
      <c r="F137" s="56">
        <f t="shared" si="80"/>
        <v>5775.4049349780953</v>
      </c>
      <c r="G137" s="56">
        <f t="shared" si="80"/>
        <v>6557.4871128586828</v>
      </c>
      <c r="H137" s="56">
        <f t="shared" si="80"/>
        <v>7620.6119542040315</v>
      </c>
      <c r="I137" s="56">
        <f t="shared" si="80"/>
        <v>8995.4199618311541</v>
      </c>
      <c r="J137" s="56">
        <f t="shared" si="80"/>
        <v>10715.763813275158</v>
      </c>
      <c r="K137" s="56">
        <f t="shared" si="80"/>
        <v>12819.03866336083</v>
      </c>
    </row>
    <row r="138" spans="1:11" x14ac:dyDescent="0.2">
      <c r="A138" s="30" t="s">
        <v>68</v>
      </c>
      <c r="B138" s="56">
        <f>MAX(B135-B136,0)</f>
        <v>0</v>
      </c>
      <c r="C138" s="56">
        <f t="shared" ref="C138:K138" si="81">MAX(C135-C136,0)</f>
        <v>0</v>
      </c>
      <c r="D138" s="56">
        <f t="shared" si="81"/>
        <v>0</v>
      </c>
      <c r="E138" s="56">
        <f t="shared" si="81"/>
        <v>0</v>
      </c>
      <c r="F138" s="56">
        <f t="shared" si="81"/>
        <v>0</v>
      </c>
      <c r="G138" s="56">
        <f t="shared" si="81"/>
        <v>0</v>
      </c>
      <c r="H138" s="56">
        <f t="shared" si="81"/>
        <v>0</v>
      </c>
      <c r="I138" s="56">
        <f t="shared" si="81"/>
        <v>0</v>
      </c>
      <c r="J138" s="56">
        <f t="shared" si="81"/>
        <v>0</v>
      </c>
      <c r="K138" s="56">
        <f t="shared" si="81"/>
        <v>0</v>
      </c>
    </row>
    <row r="139" spans="1:11" x14ac:dyDescent="0.2">
      <c r="A139" s="30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x14ac:dyDescent="0.2">
      <c r="A140" s="30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">
      <c r="A141" s="1" t="s">
        <v>69</v>
      </c>
    </row>
    <row r="142" spans="1:11" x14ac:dyDescent="0.2">
      <c r="A142" s="2" t="s">
        <v>70</v>
      </c>
      <c r="B142" s="93"/>
      <c r="C142" s="93">
        <f>C26/C10</f>
        <v>7.1168181818181853E-2</v>
      </c>
      <c r="D142" s="93">
        <f t="shared" ref="D142:K142" si="82">D26/D10</f>
        <v>8.6821749612714189E-2</v>
      </c>
      <c r="E142" s="93">
        <f t="shared" si="82"/>
        <v>0.10118595399391939</v>
      </c>
      <c r="F142" s="93">
        <f t="shared" si="82"/>
        <v>0.11437283597013967</v>
      </c>
      <c r="G142" s="93">
        <f t="shared" si="82"/>
        <v>0.1264844697622205</v>
      </c>
      <c r="H142" s="93">
        <f t="shared" si="82"/>
        <v>0.13761385922999894</v>
      </c>
      <c r="I142" s="93">
        <f t="shared" si="82"/>
        <v>0.14784575323846189</v>
      </c>
      <c r="J142" s="93">
        <f t="shared" si="82"/>
        <v>0.15725738731311223</v>
      </c>
      <c r="K142" s="93">
        <f t="shared" si="82"/>
        <v>0.16591915826683012</v>
      </c>
    </row>
    <row r="143" spans="1:11" x14ac:dyDescent="0.2">
      <c r="A143" s="2" t="s">
        <v>71</v>
      </c>
      <c r="B143" s="93"/>
      <c r="C143" s="93">
        <f>C26/B73</f>
        <v>3.456672921956068E-2</v>
      </c>
      <c r="D143" s="93">
        <f t="shared" ref="D143:K143" si="83">D26/C73</f>
        <v>4.7370540196496121E-2</v>
      </c>
      <c r="E143" s="93">
        <f t="shared" si="83"/>
        <v>6.0839206175205593E-2</v>
      </c>
      <c r="F143" s="93">
        <f t="shared" si="83"/>
        <v>7.5531616559744955E-2</v>
      </c>
      <c r="G143" s="93">
        <f t="shared" si="83"/>
        <v>9.1409651585694404E-2</v>
      </c>
      <c r="H143" s="93">
        <f t="shared" si="83"/>
        <v>0.1083983100150436</v>
      </c>
      <c r="I143" s="93">
        <f t="shared" si="83"/>
        <v>0.12638298878781695</v>
      </c>
      <c r="J143" s="93">
        <f t="shared" si="83"/>
        <v>0.1452090354002912</v>
      </c>
      <c r="K143" s="93">
        <f t="shared" si="83"/>
        <v>0.16468409120792804</v>
      </c>
    </row>
    <row r="144" spans="1:11" x14ac:dyDescent="0.2">
      <c r="A144" s="2" t="s">
        <v>72</v>
      </c>
      <c r="B144" s="93"/>
      <c r="C144" s="93">
        <f>C22*(1-36.25%)/B73</f>
        <v>5.9900651286013927E-2</v>
      </c>
      <c r="D144" s="93">
        <f t="shared" ref="D144:K144" si="84">D22*(1-36.25%)/C73</f>
        <v>7.1618472735239025E-2</v>
      </c>
      <c r="E144" s="93">
        <f t="shared" si="84"/>
        <v>8.3342447393366992E-2</v>
      </c>
      <c r="F144" s="93">
        <f t="shared" si="84"/>
        <v>9.6036367029733075E-2</v>
      </c>
      <c r="G144" s="93">
        <f t="shared" si="84"/>
        <v>0.10965856399385217</v>
      </c>
      <c r="H144" s="93">
        <f t="shared" si="84"/>
        <v>0.12413686984077062</v>
      </c>
      <c r="I144" s="93">
        <f t="shared" si="84"/>
        <v>0.1393668303122417</v>
      </c>
      <c r="J144" s="93">
        <f t="shared" si="84"/>
        <v>0.15521185527870199</v>
      </c>
      <c r="K144" s="93">
        <f t="shared" si="84"/>
        <v>0.17150569162747217</v>
      </c>
    </row>
    <row r="145" spans="1:11" x14ac:dyDescent="0.2">
      <c r="A145" s="2" t="s">
        <v>73</v>
      </c>
      <c r="B145" s="93"/>
      <c r="C145" s="93">
        <f>C26/B77</f>
        <v>5.7362154240703456E-2</v>
      </c>
      <c r="D145" s="93">
        <f t="shared" ref="D145:K145" si="85">D26/C77</f>
        <v>7.6448452742086545E-2</v>
      </c>
      <c r="E145" s="93">
        <f t="shared" si="85"/>
        <v>9.403161625822351E-2</v>
      </c>
      <c r="F145" s="93">
        <f t="shared" si="85"/>
        <v>0.1113449594583116</v>
      </c>
      <c r="G145" s="93">
        <f t="shared" si="85"/>
        <v>0.12807090109276406</v>
      </c>
      <c r="H145" s="93">
        <f t="shared" si="85"/>
        <v>0.14393220112488889</v>
      </c>
      <c r="I145" s="93">
        <f t="shared" si="85"/>
        <v>0.1587064252478291</v>
      </c>
      <c r="J145" s="93">
        <f t="shared" si="85"/>
        <v>0.17223370576515476</v>
      </c>
      <c r="K145" s="93">
        <f t="shared" si="85"/>
        <v>0.18441781065121848</v>
      </c>
    </row>
    <row r="147" spans="1:11" x14ac:dyDescent="0.2">
      <c r="A147" s="1" t="s">
        <v>74</v>
      </c>
    </row>
    <row r="148" spans="1:11" x14ac:dyDescent="0.2">
      <c r="A148" s="2" t="s">
        <v>75</v>
      </c>
      <c r="B148" s="90"/>
      <c r="C148" s="90">
        <f>C10/B73</f>
        <v>0.48570482393200137</v>
      </c>
      <c r="D148" s="90">
        <f t="shared" ref="D148:K148" si="86">D10/C73</f>
        <v>0.54560683708635116</v>
      </c>
      <c r="E148" s="90">
        <f t="shared" si="86"/>
        <v>0.60126137842077998</v>
      </c>
      <c r="F148" s="90">
        <f t="shared" si="86"/>
        <v>0.66039821360611073</v>
      </c>
      <c r="G148" s="90">
        <f t="shared" si="86"/>
        <v>0.72269466565766038</v>
      </c>
      <c r="H148" s="90">
        <f t="shared" si="86"/>
        <v>0.78769907785140769</v>
      </c>
      <c r="I148" s="90">
        <f t="shared" si="86"/>
        <v>0.85483002399110231</v>
      </c>
      <c r="J148" s="90">
        <f t="shared" si="86"/>
        <v>0.92338450918791004</v>
      </c>
      <c r="K148" s="90">
        <f t="shared" si="86"/>
        <v>0.99255621188171739</v>
      </c>
    </row>
    <row r="149" spans="1:11" x14ac:dyDescent="0.2">
      <c r="A149" s="2" t="s">
        <v>76</v>
      </c>
      <c r="B149" s="93">
        <f>B136/B135</f>
        <v>-40.59199318569015</v>
      </c>
      <c r="C149" s="93">
        <f t="shared" ref="C149:K149" si="87">C136/C135</f>
        <v>9.2664400326795278</v>
      </c>
      <c r="D149" s="93">
        <f t="shared" si="87"/>
        <v>13.486602062569203</v>
      </c>
      <c r="E149" s="93">
        <f t="shared" si="87"/>
        <v>30.43311427857396</v>
      </c>
      <c r="F149" s="93">
        <f t="shared" si="87"/>
        <v>-90.05739370026258</v>
      </c>
      <c r="G149" s="93">
        <f t="shared" si="87"/>
        <v>-18.771172860528743</v>
      </c>
      <c r="H149" s="93">
        <f t="shared" si="87"/>
        <v>-11.110631218419755</v>
      </c>
      <c r="I149" s="93">
        <f t="shared" si="87"/>
        <v>-8.377766396023981</v>
      </c>
      <c r="J149" s="93">
        <f t="shared" si="87"/>
        <v>-7.087496357249873</v>
      </c>
      <c r="K149" s="93">
        <f t="shared" si="87"/>
        <v>-6.4089001426008902</v>
      </c>
    </row>
    <row r="150" spans="1:11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">
      <c r="A151" s="1" t="s">
        <v>77</v>
      </c>
      <c r="B151" s="13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">
      <c r="A152" s="2" t="s">
        <v>152</v>
      </c>
      <c r="B152" s="94">
        <f>B76/B73</f>
        <v>0.39739485594436474</v>
      </c>
      <c r="C152" s="94">
        <f t="shared" ref="C152:K152" si="88">C76/C73</f>
        <v>0.3803597260979279</v>
      </c>
      <c r="D152" s="94">
        <f t="shared" si="88"/>
        <v>0.35299201910841427</v>
      </c>
      <c r="E152" s="94">
        <f t="shared" si="88"/>
        <v>0.32164314462726473</v>
      </c>
      <c r="F152" s="94">
        <f t="shared" si="88"/>
        <v>0.28625744953972987</v>
      </c>
      <c r="G152" s="94">
        <f t="shared" si="88"/>
        <v>0.24687936981532568</v>
      </c>
      <c r="H152" s="94">
        <f t="shared" si="88"/>
        <v>0.20366810234391763</v>
      </c>
      <c r="I152" s="94">
        <f t="shared" si="88"/>
        <v>0.15690697848487581</v>
      </c>
      <c r="J152" s="94">
        <f t="shared" si="88"/>
        <v>0.10700549677716308</v>
      </c>
      <c r="K152" s="94">
        <f t="shared" si="88"/>
        <v>5.449251162909037E-2</v>
      </c>
    </row>
    <row r="153" spans="1:11" x14ac:dyDescent="0.2">
      <c r="A153" s="2" t="s">
        <v>153</v>
      </c>
      <c r="B153" s="90">
        <f>B73/B77</f>
        <v>1.6594614398241436</v>
      </c>
      <c r="C153" s="90">
        <f t="shared" ref="C153:K153" si="89">C73/C77</f>
        <v>1.6138395809921806</v>
      </c>
      <c r="D153" s="90">
        <f t="shared" si="89"/>
        <v>1.5455759890658327</v>
      </c>
      <c r="E153" s="90">
        <f t="shared" si="89"/>
        <v>1.4741503562317981</v>
      </c>
      <c r="F153" s="90">
        <f t="shared" si="89"/>
        <v>1.4010654112678746</v>
      </c>
      <c r="G153" s="90">
        <f t="shared" si="89"/>
        <v>1.3278085341451713</v>
      </c>
      <c r="H153" s="90">
        <f t="shared" si="89"/>
        <v>1.2557578102087745</v>
      </c>
      <c r="I153" s="90">
        <f t="shared" si="89"/>
        <v>1.1861087382776552</v>
      </c>
      <c r="J153" s="90">
        <f t="shared" si="89"/>
        <v>1.1198277216611949</v>
      </c>
      <c r="K153" s="90">
        <f t="shared" si="89"/>
        <v>1.0576330830789924</v>
      </c>
    </row>
    <row r="154" spans="1:11" x14ac:dyDescent="0.2">
      <c r="A154" s="30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">
      <c r="A155" s="30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">
      <c r="A156" s="230" t="s">
        <v>160</v>
      </c>
      <c r="B156" s="227" t="s">
        <v>4</v>
      </c>
      <c r="C156" s="228"/>
      <c r="D156" s="228"/>
      <c r="E156" s="228"/>
      <c r="F156" s="228"/>
      <c r="G156" s="228"/>
      <c r="H156" s="228"/>
      <c r="I156" s="228"/>
      <c r="J156" s="228"/>
      <c r="K156" s="229"/>
    </row>
    <row r="157" spans="1:11" x14ac:dyDescent="0.2">
      <c r="A157" s="231"/>
      <c r="B157" s="91">
        <v>2010</v>
      </c>
      <c r="C157" s="91">
        <v>2011</v>
      </c>
      <c r="D157" s="91">
        <v>2012</v>
      </c>
      <c r="E157" s="91">
        <v>2013</v>
      </c>
      <c r="F157" s="91">
        <v>2014</v>
      </c>
      <c r="G157" s="91">
        <v>2015</v>
      </c>
      <c r="H157" s="91">
        <v>2016</v>
      </c>
      <c r="I157" s="91">
        <v>2017</v>
      </c>
      <c r="J157" s="91">
        <v>2018</v>
      </c>
      <c r="K157" s="91">
        <v>2019</v>
      </c>
    </row>
    <row r="158" spans="1:11" x14ac:dyDescent="0.2">
      <c r="A158" s="123" t="s">
        <v>161</v>
      </c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60" spans="1:11" x14ac:dyDescent="0.2">
      <c r="A160" s="18" t="s">
        <v>117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44"/>
    </row>
    <row r="161" spans="1:11" x14ac:dyDescent="0.2">
      <c r="A161" s="20" t="s">
        <v>118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5"/>
    </row>
    <row r="162" spans="1:11" x14ac:dyDescent="0.2">
      <c r="A162" s="20" t="s">
        <v>119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45"/>
    </row>
    <row r="163" spans="1:11" x14ac:dyDescent="0.2">
      <c r="A163" s="23" t="s">
        <v>121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46"/>
    </row>
    <row r="164" spans="1:11" x14ac:dyDescent="0.2">
      <c r="A164" s="24"/>
      <c r="B164" s="14"/>
      <c r="C164" s="14"/>
      <c r="D164" s="14"/>
      <c r="E164" s="14"/>
      <c r="F164" s="14"/>
      <c r="G164" s="14"/>
      <c r="H164" s="14"/>
      <c r="I164" s="14"/>
      <c r="J164" s="14"/>
      <c r="K164" s="124"/>
    </row>
    <row r="165" spans="1:11" x14ac:dyDescent="0.2">
      <c r="A165" s="18" t="s">
        <v>122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9"/>
    </row>
    <row r="166" spans="1:11" x14ac:dyDescent="0.2">
      <c r="A166" s="20" t="s">
        <v>123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7"/>
    </row>
    <row r="167" spans="1:11" x14ac:dyDescent="0.2">
      <c r="A167" s="23" t="s">
        <v>124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8"/>
    </row>
    <row r="169" spans="1:11" x14ac:dyDescent="0.2">
      <c r="A169" s="23" t="s">
        <v>162</v>
      </c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1" spans="1:11" x14ac:dyDescent="0.2">
      <c r="A171" s="23" t="s">
        <v>163</v>
      </c>
      <c r="B171" s="123"/>
    </row>
    <row r="172" spans="1:11" x14ac:dyDescent="0.2">
      <c r="A172" s="123" t="s">
        <v>164</v>
      </c>
      <c r="B172" s="123"/>
    </row>
    <row r="173" spans="1:11" x14ac:dyDescent="0.2">
      <c r="A173" s="23" t="s">
        <v>165</v>
      </c>
      <c r="B173" s="123"/>
    </row>
    <row r="175" spans="1:11" x14ac:dyDescent="0.2">
      <c r="A175" s="123" t="s">
        <v>166</v>
      </c>
      <c r="B175" s="123"/>
    </row>
    <row r="176" spans="1:11" x14ac:dyDescent="0.2">
      <c r="A176" s="23" t="s">
        <v>167</v>
      </c>
      <c r="B176" s="123"/>
    </row>
  </sheetData>
  <mergeCells count="12">
    <mergeCell ref="A8:A9"/>
    <mergeCell ref="F8:G8"/>
    <mergeCell ref="A37:A38"/>
    <mergeCell ref="F37:G37"/>
    <mergeCell ref="A68:A69"/>
    <mergeCell ref="F68:G68"/>
    <mergeCell ref="A81:A82"/>
    <mergeCell ref="F81:G81"/>
    <mergeCell ref="A121:A122"/>
    <mergeCell ref="B121:K121"/>
    <mergeCell ref="A156:A157"/>
    <mergeCell ref="B156:K156"/>
  </mergeCells>
  <printOptions headings="1"/>
  <pageMargins left="0.74803149606299213" right="0.74803149606299213" top="0.98425196850393704" bottom="0.98425196850393704" header="0" footer="0"/>
  <pageSetup paperSize="9" scale="71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workbookViewId="0">
      <selection activeCell="B169" sqref="B169"/>
    </sheetView>
  </sheetViews>
  <sheetFormatPr baseColWidth="10" defaultRowHeight="12.75" x14ac:dyDescent="0.2"/>
  <cols>
    <col min="1" max="1" width="28.5703125" style="147" bestFit="1" customWidth="1"/>
    <col min="2" max="11" width="9" style="147" customWidth="1"/>
    <col min="12" max="12" width="2.7109375" style="147" customWidth="1"/>
    <col min="13" max="13" width="30.7109375" style="147" bestFit="1" customWidth="1"/>
    <col min="14" max="16384" width="11.42578125" style="147"/>
  </cols>
  <sheetData>
    <row r="1" spans="1:13" x14ac:dyDescent="0.2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A3" s="149" t="s">
        <v>1</v>
      </c>
      <c r="B3" s="78"/>
      <c r="C3" s="78">
        <v>0.1</v>
      </c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  <c r="L3" s="149"/>
      <c r="M3" s="149"/>
    </row>
    <row r="4" spans="1:13" x14ac:dyDescent="0.2">
      <c r="A4" s="149" t="s">
        <v>2</v>
      </c>
      <c r="B4" s="79">
        <v>0.4</v>
      </c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  <c r="L4" s="149"/>
      <c r="M4" s="149"/>
    </row>
    <row r="5" spans="1:13" x14ac:dyDescent="0.2">
      <c r="A5" s="149" t="s">
        <v>135</v>
      </c>
      <c r="B5" s="79"/>
      <c r="C5" s="79">
        <v>0.05</v>
      </c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  <c r="L5" s="149"/>
      <c r="M5" s="149"/>
    </row>
    <row r="6" spans="1:13" x14ac:dyDescent="0.2">
      <c r="A6" s="149" t="s">
        <v>136</v>
      </c>
      <c r="B6" s="79"/>
      <c r="C6" s="79">
        <v>0.08</v>
      </c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  <c r="L6" s="149"/>
      <c r="M6" s="149"/>
    </row>
    <row r="7" spans="1:13" x14ac:dyDescent="0.2">
      <c r="A7" s="149"/>
      <c r="B7" s="149"/>
      <c r="C7" s="150"/>
      <c r="D7" s="150"/>
      <c r="E7" s="149"/>
      <c r="F7" s="149"/>
      <c r="G7" s="149"/>
      <c r="H7" s="149"/>
      <c r="I7" s="149"/>
      <c r="J7" s="149"/>
      <c r="K7" s="149"/>
      <c r="L7" s="149"/>
      <c r="M7" s="149"/>
    </row>
    <row r="8" spans="1:13" x14ac:dyDescent="0.2">
      <c r="A8" s="232" t="s">
        <v>3</v>
      </c>
      <c r="B8" s="96"/>
      <c r="C8" s="97"/>
      <c r="D8" s="97"/>
      <c r="E8" s="97"/>
      <c r="F8" s="97" t="s">
        <v>4</v>
      </c>
      <c r="G8" s="97"/>
      <c r="H8" s="97"/>
      <c r="I8" s="97"/>
      <c r="J8" s="97"/>
      <c r="K8" s="98"/>
      <c r="L8" s="149"/>
      <c r="M8" s="149"/>
    </row>
    <row r="9" spans="1:13" x14ac:dyDescent="0.2">
      <c r="A9" s="233"/>
      <c r="B9" s="3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L9" s="149"/>
      <c r="M9" s="148" t="s">
        <v>5</v>
      </c>
    </row>
    <row r="10" spans="1:13" x14ac:dyDescent="0.2">
      <c r="A10" s="151" t="s">
        <v>6</v>
      </c>
      <c r="B10" s="99">
        <v>25000</v>
      </c>
      <c r="C10" s="99">
        <f>+B10*(1+C3)</f>
        <v>27500.000000000004</v>
      </c>
      <c r="D10" s="99">
        <f>+C10*(1+D3)</f>
        <v>30250.000000000007</v>
      </c>
      <c r="E10" s="99">
        <f>+D10*(1+E3)</f>
        <v>33275.000000000007</v>
      </c>
      <c r="F10" s="99">
        <f t="shared" ref="F10:K10" si="0">+E10*(1+F3)</f>
        <v>36602.500000000015</v>
      </c>
      <c r="G10" s="99">
        <f t="shared" si="0"/>
        <v>40262.750000000022</v>
      </c>
      <c r="H10" s="99">
        <f t="shared" si="0"/>
        <v>44289.025000000031</v>
      </c>
      <c r="I10" s="99">
        <f t="shared" si="0"/>
        <v>48717.927500000034</v>
      </c>
      <c r="J10" s="99">
        <f t="shared" si="0"/>
        <v>53589.720250000042</v>
      </c>
      <c r="K10" s="99">
        <f t="shared" si="0"/>
        <v>58948.692275000052</v>
      </c>
      <c r="L10" s="149"/>
      <c r="M10" s="149" t="s">
        <v>151</v>
      </c>
    </row>
    <row r="11" spans="1:13" x14ac:dyDescent="0.2">
      <c r="A11" s="153" t="s">
        <v>82</v>
      </c>
      <c r="B11" s="154">
        <v>0</v>
      </c>
      <c r="C11" s="154">
        <f ca="1">2%*B41</f>
        <v>15.537953158106484</v>
      </c>
      <c r="D11" s="154">
        <f t="shared" ref="D11:K11" ca="1" si="1">2%*C41</f>
        <v>14.812805466909268</v>
      </c>
      <c r="E11" s="154">
        <f t="shared" ca="1" si="1"/>
        <v>19.282476712786828</v>
      </c>
      <c r="F11" s="154">
        <f t="shared" ca="1" si="1"/>
        <v>27.949928831145115</v>
      </c>
      <c r="G11" s="154">
        <f t="shared" ca="1" si="1"/>
        <v>41.272821275636595</v>
      </c>
      <c r="H11" s="154">
        <f t="shared" ca="1" si="1"/>
        <v>59.770025419235935</v>
      </c>
      <c r="I11" s="154">
        <f t="shared" ca="1" si="1"/>
        <v>84.015037155590946</v>
      </c>
      <c r="J11" s="154">
        <f t="shared" ca="1" si="1"/>
        <v>114.64162077345743</v>
      </c>
      <c r="K11" s="154">
        <f t="shared" ca="1" si="1"/>
        <v>152.35001471015235</v>
      </c>
      <c r="L11" s="149"/>
      <c r="M11" s="149" t="s">
        <v>150</v>
      </c>
    </row>
    <row r="12" spans="1:13" x14ac:dyDescent="0.2">
      <c r="A12" s="155" t="s">
        <v>149</v>
      </c>
      <c r="B12" s="154">
        <f>SUM(B10:B11)</f>
        <v>25000</v>
      </c>
      <c r="C12" s="154">
        <f t="shared" ref="C12:K12" ca="1" si="2">SUM(C10:C11)</f>
        <v>27515.537953158109</v>
      </c>
      <c r="D12" s="154">
        <f t="shared" ca="1" si="2"/>
        <v>30264.812805466918</v>
      </c>
      <c r="E12" s="154">
        <f t="shared" ca="1" si="2"/>
        <v>33294.282476712797</v>
      </c>
      <c r="F12" s="154">
        <f t="shared" ca="1" si="2"/>
        <v>36630.449928831156</v>
      </c>
      <c r="G12" s="154">
        <f t="shared" ca="1" si="2"/>
        <v>40304.022821275656</v>
      </c>
      <c r="H12" s="154">
        <f t="shared" ca="1" si="2"/>
        <v>44348.795025419269</v>
      </c>
      <c r="I12" s="154">
        <f t="shared" ca="1" si="2"/>
        <v>48801.942537155628</v>
      </c>
      <c r="J12" s="154">
        <f t="shared" ca="1" si="2"/>
        <v>53704.3618707735</v>
      </c>
      <c r="K12" s="154">
        <f t="shared" ca="1" si="2"/>
        <v>59101.042289710203</v>
      </c>
      <c r="L12" s="149"/>
      <c r="M12" s="149"/>
    </row>
    <row r="13" spans="1:13" x14ac:dyDescent="0.2">
      <c r="A13" s="153" t="s">
        <v>7</v>
      </c>
      <c r="B13" s="152"/>
      <c r="C13" s="152">
        <f>+B15</f>
        <v>625</v>
      </c>
      <c r="D13" s="152">
        <f t="shared" ref="D13:K13" ca="1" si="3">+C15</f>
        <v>687.88844882895273</v>
      </c>
      <c r="E13" s="152">
        <f t="shared" ca="1" si="3"/>
        <v>756.62032013667294</v>
      </c>
      <c r="F13" s="152">
        <f t="shared" ca="1" si="3"/>
        <v>832.35706191781992</v>
      </c>
      <c r="G13" s="152">
        <f t="shared" ca="1" si="3"/>
        <v>915.76124822077884</v>
      </c>
      <c r="H13" s="152">
        <f t="shared" ca="1" si="3"/>
        <v>1007.6005705318913</v>
      </c>
      <c r="I13" s="152">
        <f t="shared" ca="1" si="3"/>
        <v>1108.7198756354817</v>
      </c>
      <c r="J13" s="152">
        <f t="shared" ca="1" si="3"/>
        <v>1220.0485634288907</v>
      </c>
      <c r="K13" s="152">
        <f t="shared" ca="1" si="3"/>
        <v>1342.6090467693375</v>
      </c>
      <c r="L13" s="149"/>
      <c r="M13" s="149" t="s">
        <v>8</v>
      </c>
    </row>
    <row r="14" spans="1:13" x14ac:dyDescent="0.2">
      <c r="A14" s="153" t="s">
        <v>9</v>
      </c>
      <c r="B14" s="154">
        <f>+B16+B15-B13</f>
        <v>15625</v>
      </c>
      <c r="C14" s="154">
        <f ca="1">+C16+C15-C13</f>
        <v>16572.211220723817</v>
      </c>
      <c r="D14" s="154">
        <f t="shared" ref="D14:K14" ca="1" si="4">+D16+D15-D13</f>
        <v>18227.619554587873</v>
      </c>
      <c r="E14" s="154">
        <f t="shared" ca="1" si="4"/>
        <v>20052.306227808825</v>
      </c>
      <c r="F14" s="154">
        <f t="shared" ca="1" si="4"/>
        <v>22061.674143601653</v>
      </c>
      <c r="G14" s="154">
        <f t="shared" ca="1" si="4"/>
        <v>24274.253015076505</v>
      </c>
      <c r="H14" s="154">
        <f t="shared" ca="1" si="4"/>
        <v>26710.39632035515</v>
      </c>
      <c r="I14" s="154">
        <f t="shared" ca="1" si="4"/>
        <v>29392.494210086788</v>
      </c>
      <c r="J14" s="154">
        <f t="shared" ca="1" si="4"/>
        <v>32345.177605804543</v>
      </c>
      <c r="K14" s="154">
        <f t="shared" ca="1" si="4"/>
        <v>35595.542384299544</v>
      </c>
      <c r="L14" s="149"/>
      <c r="M14" s="149" t="s">
        <v>10</v>
      </c>
    </row>
    <row r="15" spans="1:13" x14ac:dyDescent="0.2">
      <c r="A15" s="153" t="s">
        <v>11</v>
      </c>
      <c r="B15" s="156">
        <f>+B43</f>
        <v>625</v>
      </c>
      <c r="C15" s="156">
        <f t="shared" ref="C15:K15" ca="1" si="5">+C43</f>
        <v>687.88844882895273</v>
      </c>
      <c r="D15" s="156">
        <f t="shared" ca="1" si="5"/>
        <v>756.62032013667294</v>
      </c>
      <c r="E15" s="156">
        <f t="shared" ca="1" si="5"/>
        <v>832.35706191781992</v>
      </c>
      <c r="F15" s="156">
        <f t="shared" ca="1" si="5"/>
        <v>915.76124822077884</v>
      </c>
      <c r="G15" s="156">
        <f t="shared" ca="1" si="5"/>
        <v>1007.6005705318913</v>
      </c>
      <c r="H15" s="156">
        <f t="shared" ca="1" si="5"/>
        <v>1108.7198756354817</v>
      </c>
      <c r="I15" s="156">
        <f t="shared" ca="1" si="5"/>
        <v>1220.0485634288907</v>
      </c>
      <c r="J15" s="156">
        <f t="shared" ca="1" si="5"/>
        <v>1342.6090467693375</v>
      </c>
      <c r="K15" s="156">
        <f t="shared" ca="1" si="5"/>
        <v>1477.5260572427551</v>
      </c>
      <c r="L15" s="149"/>
      <c r="M15" s="149" t="s">
        <v>137</v>
      </c>
    </row>
    <row r="16" spans="1:13" x14ac:dyDescent="0.2">
      <c r="A16" s="155" t="s">
        <v>12</v>
      </c>
      <c r="B16" s="157">
        <f>+B12*(1-B4)</f>
        <v>15000</v>
      </c>
      <c r="C16" s="157">
        <f t="shared" ref="C16:K16" ca="1" si="6">+C12*(1-C4)</f>
        <v>16509.322771894866</v>
      </c>
      <c r="D16" s="157">
        <f t="shared" ca="1" si="6"/>
        <v>18158.887683280151</v>
      </c>
      <c r="E16" s="157">
        <f t="shared" ca="1" si="6"/>
        <v>19976.569486027678</v>
      </c>
      <c r="F16" s="157">
        <f t="shared" ca="1" si="6"/>
        <v>21978.269957298693</v>
      </c>
      <c r="G16" s="157">
        <f t="shared" ca="1" si="6"/>
        <v>24182.413692765393</v>
      </c>
      <c r="H16" s="157">
        <f t="shared" ca="1" si="6"/>
        <v>26609.277015251562</v>
      </c>
      <c r="I16" s="157">
        <f t="shared" ca="1" si="6"/>
        <v>29281.165522293377</v>
      </c>
      <c r="J16" s="157">
        <f t="shared" ca="1" si="6"/>
        <v>32222.6171224641</v>
      </c>
      <c r="K16" s="157">
        <f t="shared" ca="1" si="6"/>
        <v>35460.625373826122</v>
      </c>
      <c r="L16" s="149"/>
      <c r="M16" s="149"/>
    </row>
    <row r="17" spans="1:13" x14ac:dyDescent="0.2">
      <c r="A17" s="158" t="s">
        <v>13</v>
      </c>
      <c r="B17" s="99">
        <f>+B12*B4</f>
        <v>10000</v>
      </c>
      <c r="C17" s="99">
        <f t="shared" ref="C17:K17" ca="1" si="7">+C12*C4</f>
        <v>11006.215181263244</v>
      </c>
      <c r="D17" s="99">
        <f t="shared" ca="1" si="7"/>
        <v>12105.925122186767</v>
      </c>
      <c r="E17" s="99">
        <f t="shared" ca="1" si="7"/>
        <v>13317.712990685119</v>
      </c>
      <c r="F17" s="99">
        <f t="shared" ca="1" si="7"/>
        <v>14652.179971532463</v>
      </c>
      <c r="G17" s="99">
        <f t="shared" ca="1" si="7"/>
        <v>16121.609128510263</v>
      </c>
      <c r="H17" s="99">
        <f t="shared" ca="1" si="7"/>
        <v>17739.518010167707</v>
      </c>
      <c r="I17" s="99">
        <f t="shared" ca="1" si="7"/>
        <v>19520.777014862251</v>
      </c>
      <c r="J17" s="99">
        <f t="shared" ca="1" si="7"/>
        <v>21481.7447483094</v>
      </c>
      <c r="K17" s="99">
        <f t="shared" ca="1" si="7"/>
        <v>23640.416915884081</v>
      </c>
      <c r="L17" s="149"/>
      <c r="M17" s="149" t="s">
        <v>155</v>
      </c>
    </row>
    <row r="18" spans="1:13" x14ac:dyDescent="0.2">
      <c r="A18" s="153" t="s">
        <v>14</v>
      </c>
      <c r="B18" s="156">
        <v>2000</v>
      </c>
      <c r="C18" s="156">
        <f>+B18*(1+C5)</f>
        <v>2100</v>
      </c>
      <c r="D18" s="156">
        <f t="shared" ref="D18:K19" si="8">+C18*(1+D5)</f>
        <v>2205</v>
      </c>
      <c r="E18" s="156">
        <f t="shared" si="8"/>
        <v>2315.25</v>
      </c>
      <c r="F18" s="156">
        <f t="shared" si="8"/>
        <v>2431.0125000000003</v>
      </c>
      <c r="G18" s="156">
        <f t="shared" si="8"/>
        <v>2552.5631250000006</v>
      </c>
      <c r="H18" s="156">
        <f t="shared" si="8"/>
        <v>2680.1912812500009</v>
      </c>
      <c r="I18" s="156">
        <f t="shared" si="8"/>
        <v>2814.2008453125009</v>
      </c>
      <c r="J18" s="156">
        <f t="shared" si="8"/>
        <v>2954.9108875781262</v>
      </c>
      <c r="K18" s="156">
        <f t="shared" si="8"/>
        <v>3102.6564319570325</v>
      </c>
      <c r="L18" s="149"/>
      <c r="M18" s="149" t="s">
        <v>156</v>
      </c>
    </row>
    <row r="19" spans="1:13" x14ac:dyDescent="0.2">
      <c r="A19" s="159" t="s">
        <v>15</v>
      </c>
      <c r="B19" s="160">
        <v>1000</v>
      </c>
      <c r="C19" s="160">
        <f>+B19*(1+C6)</f>
        <v>1080</v>
      </c>
      <c r="D19" s="160">
        <f t="shared" si="8"/>
        <v>1166.4000000000001</v>
      </c>
      <c r="E19" s="160">
        <f t="shared" si="8"/>
        <v>1259.7120000000002</v>
      </c>
      <c r="F19" s="160">
        <f t="shared" si="8"/>
        <v>1360.4889600000004</v>
      </c>
      <c r="G19" s="160">
        <f t="shared" si="8"/>
        <v>1469.3280768000004</v>
      </c>
      <c r="H19" s="160">
        <f t="shared" si="8"/>
        <v>1586.8743229440006</v>
      </c>
      <c r="I19" s="160">
        <f t="shared" si="8"/>
        <v>1713.8242687795207</v>
      </c>
      <c r="J19" s="160">
        <f t="shared" si="8"/>
        <v>1850.9302102818824</v>
      </c>
      <c r="K19" s="160">
        <f t="shared" si="8"/>
        <v>1999.0046271044332</v>
      </c>
      <c r="L19" s="149"/>
      <c r="M19" s="149" t="s">
        <v>157</v>
      </c>
    </row>
    <row r="20" spans="1:13" x14ac:dyDescent="0.2">
      <c r="A20" s="158" t="s">
        <v>16</v>
      </c>
      <c r="B20" s="154">
        <f>+B17-B18-B19</f>
        <v>7000</v>
      </c>
      <c r="C20" s="154">
        <f t="shared" ref="C20:K20" ca="1" si="9">+C17-C18-C19</f>
        <v>7826.2151812632437</v>
      </c>
      <c r="D20" s="154">
        <f t="shared" ca="1" si="9"/>
        <v>8734.5251221867675</v>
      </c>
      <c r="E20" s="154">
        <f t="shared" ca="1" si="9"/>
        <v>9742.7509906851192</v>
      </c>
      <c r="F20" s="154">
        <f t="shared" ca="1" si="9"/>
        <v>10860.678511532462</v>
      </c>
      <c r="G20" s="154">
        <f t="shared" ca="1" si="9"/>
        <v>12099.717926710262</v>
      </c>
      <c r="H20" s="154">
        <f t="shared" ca="1" si="9"/>
        <v>13472.452405973705</v>
      </c>
      <c r="I20" s="154">
        <f t="shared" ca="1" si="9"/>
        <v>14992.751900770229</v>
      </c>
      <c r="J20" s="154">
        <f t="shared" ca="1" si="9"/>
        <v>16675.903650449389</v>
      </c>
      <c r="K20" s="154">
        <f t="shared" ca="1" si="9"/>
        <v>18538.755856822616</v>
      </c>
      <c r="L20" s="149"/>
      <c r="M20" s="149"/>
    </row>
    <row r="21" spans="1:13" x14ac:dyDescent="0.2">
      <c r="A21" s="159" t="s">
        <v>17</v>
      </c>
      <c r="B21" s="101">
        <f t="shared" ref="B21:K21" ca="1" si="10">5%*B47</f>
        <v>2500</v>
      </c>
      <c r="C21" s="101">
        <f t="shared" ca="1" si="10"/>
        <v>2500</v>
      </c>
      <c r="D21" s="101">
        <f t="shared" ca="1" si="10"/>
        <v>2500</v>
      </c>
      <c r="E21" s="101">
        <f t="shared" ca="1" si="10"/>
        <v>2500</v>
      </c>
      <c r="F21" s="101">
        <f t="shared" ca="1" si="10"/>
        <v>2500</v>
      </c>
      <c r="G21" s="101">
        <f t="shared" ca="1" si="10"/>
        <v>2500</v>
      </c>
      <c r="H21" s="101">
        <f t="shared" ca="1" si="10"/>
        <v>2500</v>
      </c>
      <c r="I21" s="101">
        <f t="shared" ca="1" si="10"/>
        <v>2500</v>
      </c>
      <c r="J21" s="101">
        <f t="shared" ca="1" si="10"/>
        <v>2500</v>
      </c>
      <c r="K21" s="101">
        <f t="shared" ca="1" si="10"/>
        <v>2500</v>
      </c>
      <c r="L21" s="149"/>
      <c r="M21" s="149" t="s">
        <v>158</v>
      </c>
    </row>
    <row r="22" spans="1:13" x14ac:dyDescent="0.2">
      <c r="A22" s="158" t="s">
        <v>18</v>
      </c>
      <c r="B22" s="102">
        <f ca="1">+B20-B21</f>
        <v>4500</v>
      </c>
      <c r="C22" s="102">
        <f t="shared" ref="C22:K22" ca="1" si="11">+C20-C21</f>
        <v>5326.2151812632437</v>
      </c>
      <c r="D22" s="102">
        <f t="shared" ca="1" si="11"/>
        <v>6234.5251221867675</v>
      </c>
      <c r="E22" s="102">
        <f t="shared" ca="1" si="11"/>
        <v>7242.7509906851192</v>
      </c>
      <c r="F22" s="102">
        <f t="shared" ca="1" si="11"/>
        <v>8360.6785115324619</v>
      </c>
      <c r="G22" s="102">
        <f t="shared" ca="1" si="11"/>
        <v>9599.717926710262</v>
      </c>
      <c r="H22" s="102">
        <f t="shared" ca="1" si="11"/>
        <v>10972.452405973705</v>
      </c>
      <c r="I22" s="102">
        <f t="shared" ca="1" si="11"/>
        <v>12492.751900770229</v>
      </c>
      <c r="J22" s="102">
        <f t="shared" ca="1" si="11"/>
        <v>14175.903650449389</v>
      </c>
      <c r="K22" s="102">
        <f t="shared" ca="1" si="11"/>
        <v>16038.755856822616</v>
      </c>
      <c r="L22" s="149"/>
      <c r="M22" s="149" t="s">
        <v>39</v>
      </c>
    </row>
    <row r="23" spans="1:13" x14ac:dyDescent="0.2">
      <c r="A23" s="159" t="s">
        <v>19</v>
      </c>
      <c r="B23" s="109">
        <f>20000*10%</f>
        <v>2000</v>
      </c>
      <c r="C23" s="109">
        <f>+B57*10%</f>
        <v>1874.509210234977</v>
      </c>
      <c r="D23" s="109">
        <f t="shared" ref="D23:K23" si="12">+C57*10%</f>
        <v>1736.4693414934516</v>
      </c>
      <c r="E23" s="109">
        <f t="shared" si="12"/>
        <v>1584.6254858777734</v>
      </c>
      <c r="F23" s="109">
        <f t="shared" si="12"/>
        <v>1417.5972447005274</v>
      </c>
      <c r="G23" s="109">
        <f t="shared" si="12"/>
        <v>1233.866179405557</v>
      </c>
      <c r="H23" s="109">
        <f t="shared" si="12"/>
        <v>1031.7620075810894</v>
      </c>
      <c r="I23" s="109">
        <f t="shared" si="12"/>
        <v>809.44741857417512</v>
      </c>
      <c r="J23" s="109">
        <f t="shared" si="12"/>
        <v>564.90137066656939</v>
      </c>
      <c r="K23" s="109">
        <f t="shared" si="12"/>
        <v>295.90071796820303</v>
      </c>
      <c r="L23" s="149"/>
      <c r="M23" s="149" t="s">
        <v>159</v>
      </c>
    </row>
    <row r="24" spans="1:13" x14ac:dyDescent="0.2">
      <c r="A24" s="158" t="s">
        <v>20</v>
      </c>
      <c r="B24" s="102">
        <f ca="1">+B22-B23</f>
        <v>2500</v>
      </c>
      <c r="C24" s="102">
        <f t="shared" ref="C24:K24" ca="1" si="13">+C22-C23</f>
        <v>3451.7059710282665</v>
      </c>
      <c r="D24" s="102">
        <f t="shared" ca="1" si="13"/>
        <v>4498.0557806933157</v>
      </c>
      <c r="E24" s="102">
        <f t="shared" ca="1" si="13"/>
        <v>5658.1255048073454</v>
      </c>
      <c r="F24" s="102">
        <f t="shared" ca="1" si="13"/>
        <v>6943.081266831934</v>
      </c>
      <c r="G24" s="102">
        <f t="shared" ca="1" si="13"/>
        <v>8365.851747304705</v>
      </c>
      <c r="H24" s="102">
        <f t="shared" ca="1" si="13"/>
        <v>9940.690398392615</v>
      </c>
      <c r="I24" s="102">
        <f t="shared" ca="1" si="13"/>
        <v>11683.304482196054</v>
      </c>
      <c r="J24" s="102">
        <f t="shared" ca="1" si="13"/>
        <v>13611.002279782819</v>
      </c>
      <c r="K24" s="102">
        <f t="shared" ca="1" si="13"/>
        <v>15742.855138854413</v>
      </c>
      <c r="L24" s="149"/>
      <c r="M24" s="149"/>
    </row>
    <row r="25" spans="1:13" x14ac:dyDescent="0.2">
      <c r="A25" s="159" t="s">
        <v>21</v>
      </c>
      <c r="B25" s="110">
        <f ca="1">+B24*36.25%</f>
        <v>906.25</v>
      </c>
      <c r="C25" s="110">
        <f t="shared" ref="C25:K25" ca="1" si="14">+C24*36.25%</f>
        <v>1251.2434144977465</v>
      </c>
      <c r="D25" s="110">
        <f t="shared" ca="1" si="14"/>
        <v>1630.5452205013269</v>
      </c>
      <c r="E25" s="110">
        <f t="shared" ca="1" si="14"/>
        <v>2051.0704954926628</v>
      </c>
      <c r="F25" s="110">
        <f t="shared" ca="1" si="14"/>
        <v>2516.866959226576</v>
      </c>
      <c r="G25" s="110">
        <f t="shared" ca="1" si="14"/>
        <v>3032.6212583979554</v>
      </c>
      <c r="H25" s="110">
        <f t="shared" ca="1" si="14"/>
        <v>3603.5002694173227</v>
      </c>
      <c r="I25" s="110">
        <f t="shared" ca="1" si="14"/>
        <v>4235.1978747960693</v>
      </c>
      <c r="J25" s="110">
        <f t="shared" ca="1" si="14"/>
        <v>4933.9883264212713</v>
      </c>
      <c r="K25" s="110">
        <f t="shared" ca="1" si="14"/>
        <v>5706.7849878347242</v>
      </c>
      <c r="L25" s="149"/>
      <c r="M25" s="149" t="s">
        <v>22</v>
      </c>
    </row>
    <row r="26" spans="1:13" x14ac:dyDescent="0.2">
      <c r="A26" s="162" t="s">
        <v>23</v>
      </c>
      <c r="B26" s="102">
        <f ca="1">+B24-B25</f>
        <v>1593.75</v>
      </c>
      <c r="C26" s="102">
        <f t="shared" ref="C26:K26" ca="1" si="15">+C24-C25</f>
        <v>2200.46255653052</v>
      </c>
      <c r="D26" s="102">
        <f t="shared" ca="1" si="15"/>
        <v>2867.5105601919886</v>
      </c>
      <c r="E26" s="102">
        <f t="shared" ca="1" si="15"/>
        <v>3607.0550093146826</v>
      </c>
      <c r="F26" s="102">
        <f t="shared" ca="1" si="15"/>
        <v>4426.214307605358</v>
      </c>
      <c r="G26" s="102">
        <f t="shared" ca="1" si="15"/>
        <v>5333.2304889067491</v>
      </c>
      <c r="H26" s="102">
        <f t="shared" ca="1" si="15"/>
        <v>6337.1901289752923</v>
      </c>
      <c r="I26" s="102">
        <f t="shared" ca="1" si="15"/>
        <v>7448.1066073999846</v>
      </c>
      <c r="J26" s="102">
        <f t="shared" ca="1" si="15"/>
        <v>8677.0139533615475</v>
      </c>
      <c r="K26" s="102">
        <f t="shared" ca="1" si="15"/>
        <v>10036.070151019689</v>
      </c>
      <c r="L26" s="149"/>
      <c r="M26" s="149"/>
    </row>
    <row r="27" spans="1:13" x14ac:dyDescent="0.2">
      <c r="A27" s="159" t="s">
        <v>24</v>
      </c>
      <c r="B27" s="109">
        <f ca="1">+B26*60%</f>
        <v>956.25</v>
      </c>
      <c r="C27" s="109">
        <f t="shared" ref="C27:K27" ca="1" si="16">+C26*60%</f>
        <v>1320.277533918312</v>
      </c>
      <c r="D27" s="109">
        <f t="shared" ca="1" si="16"/>
        <v>1720.5063361151931</v>
      </c>
      <c r="E27" s="109">
        <f t="shared" ca="1" si="16"/>
        <v>2164.2330055888096</v>
      </c>
      <c r="F27" s="109">
        <f t="shared" ca="1" si="16"/>
        <v>2655.7285845632146</v>
      </c>
      <c r="G27" s="109">
        <f t="shared" ca="1" si="16"/>
        <v>3199.9382933440493</v>
      </c>
      <c r="H27" s="109">
        <f t="shared" ca="1" si="16"/>
        <v>3802.3140773851751</v>
      </c>
      <c r="I27" s="109">
        <f t="shared" ca="1" si="16"/>
        <v>4468.8639644399909</v>
      </c>
      <c r="J27" s="109">
        <f t="shared" ca="1" si="16"/>
        <v>5206.2083720169285</v>
      </c>
      <c r="K27" s="109">
        <f t="shared" ca="1" si="16"/>
        <v>6021.6420906118128</v>
      </c>
      <c r="L27" s="149"/>
      <c r="M27" s="149" t="s">
        <v>146</v>
      </c>
    </row>
    <row r="28" spans="1:13" x14ac:dyDescent="0.2">
      <c r="A28" s="155" t="s">
        <v>25</v>
      </c>
      <c r="B28" s="111">
        <f ca="1">+B26-B27</f>
        <v>637.5</v>
      </c>
      <c r="C28" s="111">
        <f t="shared" ref="C28:K28" ca="1" si="17">+C26-C27</f>
        <v>880.18502261220806</v>
      </c>
      <c r="D28" s="111">
        <f t="shared" ca="1" si="17"/>
        <v>1147.0042240767955</v>
      </c>
      <c r="E28" s="111">
        <f t="shared" ca="1" si="17"/>
        <v>1442.8220037258729</v>
      </c>
      <c r="F28" s="111">
        <f t="shared" ca="1" si="17"/>
        <v>1770.4857230421435</v>
      </c>
      <c r="G28" s="111">
        <f t="shared" ca="1" si="17"/>
        <v>2133.2921955626998</v>
      </c>
      <c r="H28" s="111">
        <f t="shared" ca="1" si="17"/>
        <v>2534.8760515901172</v>
      </c>
      <c r="I28" s="111">
        <f t="shared" ca="1" si="17"/>
        <v>2979.2426429599936</v>
      </c>
      <c r="J28" s="111">
        <f t="shared" ca="1" si="17"/>
        <v>3470.805581344619</v>
      </c>
      <c r="K28" s="111">
        <f t="shared" ca="1" si="17"/>
        <v>4014.4280604078758</v>
      </c>
      <c r="L28" s="149"/>
      <c r="M28" s="149"/>
    </row>
    <row r="29" spans="1:13" x14ac:dyDescent="0.2">
      <c r="A29" s="149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49"/>
      <c r="M29" s="149"/>
    </row>
    <row r="30" spans="1:13" x14ac:dyDescent="0.2">
      <c r="A30" s="148" t="s">
        <v>26</v>
      </c>
      <c r="B30" s="166"/>
      <c r="C30" s="165"/>
      <c r="D30" s="165"/>
      <c r="E30" s="165"/>
      <c r="F30" s="165"/>
      <c r="G30" s="165"/>
      <c r="H30" s="165"/>
      <c r="I30" s="165"/>
      <c r="J30" s="165"/>
      <c r="K30" s="165"/>
      <c r="L30" s="149"/>
      <c r="M30" s="149"/>
    </row>
    <row r="31" spans="1:13" x14ac:dyDescent="0.2">
      <c r="A31" s="149" t="s">
        <v>27</v>
      </c>
      <c r="B31" s="72">
        <v>30</v>
      </c>
      <c r="C31" s="72">
        <v>30</v>
      </c>
      <c r="D31" s="72">
        <v>30</v>
      </c>
      <c r="E31" s="72">
        <v>30</v>
      </c>
      <c r="F31" s="72">
        <v>30</v>
      </c>
      <c r="G31" s="72">
        <v>30</v>
      </c>
      <c r="H31" s="72">
        <v>30</v>
      </c>
      <c r="I31" s="72">
        <v>30</v>
      </c>
      <c r="J31" s="72">
        <v>30</v>
      </c>
      <c r="K31" s="72">
        <v>30</v>
      </c>
      <c r="L31" s="149"/>
      <c r="M31" s="149"/>
    </row>
    <row r="32" spans="1:13" x14ac:dyDescent="0.2">
      <c r="A32" s="149" t="s">
        <v>28</v>
      </c>
      <c r="B32" s="72">
        <v>15</v>
      </c>
      <c r="C32" s="72">
        <v>15</v>
      </c>
      <c r="D32" s="72">
        <v>15</v>
      </c>
      <c r="E32" s="72">
        <v>15</v>
      </c>
      <c r="F32" s="72">
        <v>15</v>
      </c>
      <c r="G32" s="72">
        <v>15</v>
      </c>
      <c r="H32" s="72">
        <v>15</v>
      </c>
      <c r="I32" s="72">
        <v>15</v>
      </c>
      <c r="J32" s="72">
        <v>15</v>
      </c>
      <c r="K32" s="72">
        <v>15</v>
      </c>
      <c r="L32" s="149"/>
      <c r="M32" s="149"/>
    </row>
    <row r="33" spans="1:13" x14ac:dyDescent="0.2">
      <c r="A33" s="149" t="s">
        <v>29</v>
      </c>
      <c r="B33" s="72">
        <v>50</v>
      </c>
      <c r="C33" s="72">
        <v>50</v>
      </c>
      <c r="D33" s="72">
        <v>50</v>
      </c>
      <c r="E33" s="72">
        <v>50</v>
      </c>
      <c r="F33" s="72">
        <v>50</v>
      </c>
      <c r="G33" s="72">
        <v>50</v>
      </c>
      <c r="H33" s="72">
        <v>50</v>
      </c>
      <c r="I33" s="72">
        <v>50</v>
      </c>
      <c r="J33" s="72">
        <v>50</v>
      </c>
      <c r="K33" s="72">
        <v>50</v>
      </c>
      <c r="L33" s="149"/>
      <c r="M33" s="149"/>
    </row>
    <row r="34" spans="1:13" x14ac:dyDescent="0.2">
      <c r="A34" s="149" t="s">
        <v>138</v>
      </c>
      <c r="B34" s="76">
        <v>0.1</v>
      </c>
      <c r="C34" s="76">
        <v>0.1</v>
      </c>
      <c r="D34" s="76">
        <v>0.1</v>
      </c>
      <c r="E34" s="76">
        <v>0.1</v>
      </c>
      <c r="F34" s="76">
        <v>0.1</v>
      </c>
      <c r="G34" s="76">
        <v>0.1</v>
      </c>
      <c r="H34" s="76">
        <v>0.1</v>
      </c>
      <c r="I34" s="76">
        <v>0.1</v>
      </c>
      <c r="J34" s="76">
        <v>0.1</v>
      </c>
      <c r="K34" s="76">
        <v>0.1</v>
      </c>
      <c r="L34" s="149"/>
      <c r="M34" s="149"/>
    </row>
    <row r="35" spans="1:13" x14ac:dyDescent="0.2">
      <c r="A35" s="149" t="s">
        <v>139</v>
      </c>
      <c r="B35" s="76">
        <v>0.12</v>
      </c>
      <c r="C35" s="76">
        <v>0.12</v>
      </c>
      <c r="D35" s="76">
        <v>0.12</v>
      </c>
      <c r="E35" s="76">
        <v>0.12</v>
      </c>
      <c r="F35" s="76">
        <v>0.12</v>
      </c>
      <c r="G35" s="76">
        <v>0.12</v>
      </c>
      <c r="H35" s="76">
        <v>0.12</v>
      </c>
      <c r="I35" s="76">
        <v>0.12</v>
      </c>
      <c r="J35" s="76">
        <v>0.12</v>
      </c>
      <c r="K35" s="76">
        <v>0.12</v>
      </c>
      <c r="L35" s="149"/>
      <c r="M35" s="149"/>
    </row>
    <row r="36" spans="1:13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x14ac:dyDescent="0.2">
      <c r="A37" s="232" t="s">
        <v>31</v>
      </c>
      <c r="B37" s="96"/>
      <c r="C37" s="97"/>
      <c r="D37" s="97"/>
      <c r="E37" s="97"/>
      <c r="F37" s="238" t="s">
        <v>4</v>
      </c>
      <c r="G37" s="238"/>
      <c r="H37" s="97"/>
      <c r="I37" s="97"/>
      <c r="J37" s="97"/>
      <c r="K37" s="98"/>
      <c r="L37" s="149"/>
      <c r="M37" s="149"/>
    </row>
    <row r="38" spans="1:13" x14ac:dyDescent="0.2">
      <c r="A38" s="233"/>
      <c r="B38" s="3">
        <v>2010</v>
      </c>
      <c r="C38" s="3">
        <v>2011</v>
      </c>
      <c r="D38" s="3">
        <v>2012</v>
      </c>
      <c r="E38" s="3">
        <v>2013</v>
      </c>
      <c r="F38" s="3">
        <v>2014</v>
      </c>
      <c r="G38" s="3">
        <v>2015</v>
      </c>
      <c r="H38" s="3">
        <v>2016</v>
      </c>
      <c r="I38" s="3">
        <v>2017</v>
      </c>
      <c r="J38" s="3">
        <v>2018</v>
      </c>
      <c r="K38" s="3">
        <v>2019</v>
      </c>
      <c r="L38" s="149"/>
      <c r="M38" s="149"/>
    </row>
    <row r="39" spans="1:13" x14ac:dyDescent="0.2">
      <c r="A39" s="162" t="s">
        <v>32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49"/>
      <c r="M39" s="149"/>
    </row>
    <row r="40" spans="1:13" x14ac:dyDescent="0.2">
      <c r="A40" s="153" t="s">
        <v>33</v>
      </c>
      <c r="B40" s="101">
        <f>+MAX(B10*5%,1000)</f>
        <v>1250</v>
      </c>
      <c r="C40" s="101">
        <f t="shared" ref="C40:K40" si="18">+MAX(C10*5%,1000)</f>
        <v>1375.0000000000002</v>
      </c>
      <c r="D40" s="101">
        <f t="shared" si="18"/>
        <v>1512.5000000000005</v>
      </c>
      <c r="E40" s="101">
        <f t="shared" si="18"/>
        <v>1663.7500000000005</v>
      </c>
      <c r="F40" s="101">
        <f t="shared" si="18"/>
        <v>1830.1250000000009</v>
      </c>
      <c r="G40" s="101">
        <f t="shared" si="18"/>
        <v>2013.1375000000012</v>
      </c>
      <c r="H40" s="101">
        <f t="shared" si="18"/>
        <v>2214.4512500000014</v>
      </c>
      <c r="I40" s="101">
        <f t="shared" si="18"/>
        <v>2435.8963750000016</v>
      </c>
      <c r="J40" s="101">
        <f t="shared" si="18"/>
        <v>2679.4860125000023</v>
      </c>
      <c r="K40" s="101">
        <f t="shared" si="18"/>
        <v>2947.4346137500029</v>
      </c>
      <c r="L40" s="149"/>
      <c r="M40" s="149" t="s">
        <v>168</v>
      </c>
    </row>
    <row r="41" spans="1:13" x14ac:dyDescent="0.2">
      <c r="A41" s="153" t="s">
        <v>34</v>
      </c>
      <c r="B41" s="95">
        <f ca="1">+B118</f>
        <v>776.89765790532419</v>
      </c>
      <c r="C41" s="95">
        <f t="shared" ref="C41:K41" ca="1" si="19">+C118</f>
        <v>740.64027334546336</v>
      </c>
      <c r="D41" s="95">
        <f t="shared" ca="1" si="19"/>
        <v>964.12383563934145</v>
      </c>
      <c r="E41" s="95">
        <f t="shared" ca="1" si="19"/>
        <v>1397.4964415572558</v>
      </c>
      <c r="F41" s="95">
        <f t="shared" ca="1" si="19"/>
        <v>2063.6410637818299</v>
      </c>
      <c r="G41" s="95">
        <f t="shared" ca="1" si="19"/>
        <v>2988.5012709617968</v>
      </c>
      <c r="H41" s="95">
        <f t="shared" ca="1" si="19"/>
        <v>4200.7518577795472</v>
      </c>
      <c r="I41" s="95">
        <f t="shared" ca="1" si="19"/>
        <v>5732.0810386728717</v>
      </c>
      <c r="J41" s="95">
        <f t="shared" ca="1" si="19"/>
        <v>7617.5007355076177</v>
      </c>
      <c r="K41" s="95">
        <f t="shared" ca="1" si="19"/>
        <v>9895.6884194603917</v>
      </c>
      <c r="L41" s="149"/>
      <c r="M41" s="149"/>
    </row>
    <row r="42" spans="1:13" x14ac:dyDescent="0.2">
      <c r="A42" s="153" t="s">
        <v>35</v>
      </c>
      <c r="B42" s="103">
        <f>+(B10/360)*B31</f>
        <v>2083.3333333333335</v>
      </c>
      <c r="C42" s="103">
        <f t="shared" ref="C42:K42" si="20">+(C10/360)*C31</f>
        <v>2291.666666666667</v>
      </c>
      <c r="D42" s="103">
        <f t="shared" si="20"/>
        <v>2520.8333333333339</v>
      </c>
      <c r="E42" s="103">
        <f t="shared" si="20"/>
        <v>2772.916666666667</v>
      </c>
      <c r="F42" s="103">
        <f t="shared" si="20"/>
        <v>3050.2083333333348</v>
      </c>
      <c r="G42" s="103">
        <f t="shared" si="20"/>
        <v>3355.2291666666683</v>
      </c>
      <c r="H42" s="103">
        <f t="shared" si="20"/>
        <v>3690.7520833333356</v>
      </c>
      <c r="I42" s="103">
        <f t="shared" si="20"/>
        <v>4059.8272916666697</v>
      </c>
      <c r="J42" s="103">
        <f t="shared" si="20"/>
        <v>4465.8100208333371</v>
      </c>
      <c r="K42" s="103">
        <f t="shared" si="20"/>
        <v>4912.3910229166704</v>
      </c>
      <c r="L42" s="149"/>
      <c r="M42" s="149"/>
    </row>
    <row r="43" spans="1:13" x14ac:dyDescent="0.2">
      <c r="A43" s="153" t="s">
        <v>36</v>
      </c>
      <c r="B43" s="103">
        <f>+(B16/360)*B32</f>
        <v>625</v>
      </c>
      <c r="C43" s="103">
        <f ca="1">+(C16/360)*C32</f>
        <v>687.88844882895273</v>
      </c>
      <c r="D43" s="103">
        <f t="shared" ref="D43:K43" ca="1" si="21">+(D16/360)*D32</f>
        <v>756.62032013667294</v>
      </c>
      <c r="E43" s="103">
        <f t="shared" ca="1" si="21"/>
        <v>832.35706191781992</v>
      </c>
      <c r="F43" s="103">
        <f t="shared" ca="1" si="21"/>
        <v>915.76124822077884</v>
      </c>
      <c r="G43" s="103">
        <f t="shared" ca="1" si="21"/>
        <v>1007.6005705318913</v>
      </c>
      <c r="H43" s="103">
        <f t="shared" ca="1" si="21"/>
        <v>1108.7198756354817</v>
      </c>
      <c r="I43" s="103">
        <f t="shared" ca="1" si="21"/>
        <v>1220.0485634288907</v>
      </c>
      <c r="J43" s="103">
        <f t="shared" ca="1" si="21"/>
        <v>1342.6090467693375</v>
      </c>
      <c r="K43" s="103">
        <f t="shared" ca="1" si="21"/>
        <v>1477.5260572427551</v>
      </c>
      <c r="L43" s="149"/>
      <c r="M43" s="149"/>
    </row>
    <row r="44" spans="1:13" x14ac:dyDescent="0.2">
      <c r="A44" s="155" t="s">
        <v>37</v>
      </c>
      <c r="B44" s="54">
        <f ca="1">SUM(B40:B43)</f>
        <v>4735.2309912386572</v>
      </c>
      <c r="C44" s="54">
        <f t="shared" ref="C44:K44" ca="1" si="22">SUM(C40:C43)</f>
        <v>5095.1953888410826</v>
      </c>
      <c r="D44" s="54">
        <f t="shared" ca="1" si="22"/>
        <v>5754.0774891093497</v>
      </c>
      <c r="E44" s="54">
        <f t="shared" ca="1" si="22"/>
        <v>6666.5201701417436</v>
      </c>
      <c r="F44" s="54">
        <f t="shared" ca="1" si="22"/>
        <v>7859.7356453359444</v>
      </c>
      <c r="G44" s="54">
        <f t="shared" ca="1" si="22"/>
        <v>9364.4685081603566</v>
      </c>
      <c r="H44" s="54">
        <f t="shared" ca="1" si="22"/>
        <v>11214.675066748365</v>
      </c>
      <c r="I44" s="54">
        <f t="shared" ca="1" si="22"/>
        <v>13447.853268768435</v>
      </c>
      <c r="J44" s="54">
        <f t="shared" ca="1" si="22"/>
        <v>16105.405815610296</v>
      </c>
      <c r="K44" s="54">
        <f t="shared" ca="1" si="22"/>
        <v>19233.040113369821</v>
      </c>
      <c r="L44" s="149"/>
      <c r="M44" s="149"/>
    </row>
    <row r="45" spans="1:13" x14ac:dyDescent="0.2">
      <c r="A45" s="153" t="s">
        <v>38</v>
      </c>
      <c r="B45" s="99">
        <f ca="1">50000+B21</f>
        <v>52500</v>
      </c>
      <c r="C45" s="99">
        <f ca="1">+B45+C100</f>
        <v>55000</v>
      </c>
      <c r="D45" s="99">
        <f t="shared" ref="D45:K45" ca="1" si="23">+C45+D100</f>
        <v>57500</v>
      </c>
      <c r="E45" s="99">
        <f t="shared" ca="1" si="23"/>
        <v>60000</v>
      </c>
      <c r="F45" s="99">
        <f t="shared" ca="1" si="23"/>
        <v>62500</v>
      </c>
      <c r="G45" s="99">
        <f t="shared" ca="1" si="23"/>
        <v>65000</v>
      </c>
      <c r="H45" s="99">
        <f t="shared" ca="1" si="23"/>
        <v>67500</v>
      </c>
      <c r="I45" s="99">
        <f t="shared" ca="1" si="23"/>
        <v>70000</v>
      </c>
      <c r="J45" s="99">
        <f t="shared" ca="1" si="23"/>
        <v>72500</v>
      </c>
      <c r="K45" s="99">
        <f t="shared" ca="1" si="23"/>
        <v>75000</v>
      </c>
      <c r="L45" s="149"/>
      <c r="M45" s="170" t="s">
        <v>154</v>
      </c>
    </row>
    <row r="46" spans="1:13" x14ac:dyDescent="0.2">
      <c r="A46" s="153" t="s">
        <v>40</v>
      </c>
      <c r="B46" s="154">
        <f ca="1">0-B21</f>
        <v>-2500</v>
      </c>
      <c r="C46" s="154">
        <f ca="1">+B46-C21</f>
        <v>-5000</v>
      </c>
      <c r="D46" s="154">
        <f ca="1">+C46-D21</f>
        <v>-7500</v>
      </c>
      <c r="E46" s="154">
        <f ca="1">+D46-E21</f>
        <v>-10000</v>
      </c>
      <c r="F46" s="154">
        <f t="shared" ref="F46:K46" ca="1" si="24">+E46-F21</f>
        <v>-12500</v>
      </c>
      <c r="G46" s="154">
        <f t="shared" ca="1" si="24"/>
        <v>-15000</v>
      </c>
      <c r="H46" s="154">
        <f t="shared" ca="1" si="24"/>
        <v>-17500</v>
      </c>
      <c r="I46" s="154">
        <f t="shared" ca="1" si="24"/>
        <v>-20000</v>
      </c>
      <c r="J46" s="154">
        <f t="shared" ca="1" si="24"/>
        <v>-22500</v>
      </c>
      <c r="K46" s="154">
        <f t="shared" ca="1" si="24"/>
        <v>-25000</v>
      </c>
      <c r="L46" s="149"/>
      <c r="M46" s="149"/>
    </row>
    <row r="47" spans="1:13" x14ac:dyDescent="0.2">
      <c r="A47" s="155" t="s">
        <v>41</v>
      </c>
      <c r="B47" s="161">
        <f ca="1">SUM(B45:B46)</f>
        <v>50000</v>
      </c>
      <c r="C47" s="161">
        <f t="shared" ref="C47:K47" ca="1" si="25">SUM(C45:C46)</f>
        <v>50000</v>
      </c>
      <c r="D47" s="161">
        <f ca="1">SUM(D45:D46)</f>
        <v>50000</v>
      </c>
      <c r="E47" s="161">
        <f t="shared" ca="1" si="25"/>
        <v>50000</v>
      </c>
      <c r="F47" s="161">
        <f t="shared" ca="1" si="25"/>
        <v>50000</v>
      </c>
      <c r="G47" s="161">
        <f t="shared" ca="1" si="25"/>
        <v>50000</v>
      </c>
      <c r="H47" s="161">
        <f t="shared" ca="1" si="25"/>
        <v>50000</v>
      </c>
      <c r="I47" s="161">
        <f t="shared" ca="1" si="25"/>
        <v>50000</v>
      </c>
      <c r="J47" s="161">
        <f t="shared" ca="1" si="25"/>
        <v>50000</v>
      </c>
      <c r="K47" s="161">
        <f t="shared" ca="1" si="25"/>
        <v>50000</v>
      </c>
      <c r="L47" s="149"/>
      <c r="M47" s="149"/>
    </row>
    <row r="48" spans="1:13" x14ac:dyDescent="0.2">
      <c r="A48" s="155" t="s">
        <v>42</v>
      </c>
      <c r="B48" s="55">
        <f ca="1">+B44+B47</f>
        <v>54735.230991238655</v>
      </c>
      <c r="C48" s="55">
        <f t="shared" ref="C48:K48" ca="1" si="26">+C44+C47</f>
        <v>55095.195388841079</v>
      </c>
      <c r="D48" s="55">
        <f t="shared" ca="1" si="26"/>
        <v>55754.077489109346</v>
      </c>
      <c r="E48" s="55">
        <f t="shared" ca="1" si="26"/>
        <v>56666.520170141746</v>
      </c>
      <c r="F48" s="55">
        <f t="shared" ca="1" si="26"/>
        <v>57859.735645335946</v>
      </c>
      <c r="G48" s="55">
        <f t="shared" ca="1" si="26"/>
        <v>59364.468508160353</v>
      </c>
      <c r="H48" s="55">
        <f t="shared" ca="1" si="26"/>
        <v>61214.675066748365</v>
      </c>
      <c r="I48" s="55">
        <f t="shared" ca="1" si="26"/>
        <v>63447.853268768435</v>
      </c>
      <c r="J48" s="55">
        <f t="shared" ca="1" si="26"/>
        <v>66105.405815610298</v>
      </c>
      <c r="K48" s="55">
        <f t="shared" ca="1" si="26"/>
        <v>69233.040113369818</v>
      </c>
      <c r="L48" s="149"/>
      <c r="M48" s="149"/>
    </row>
    <row r="49" spans="1:13" x14ac:dyDescent="0.2">
      <c r="A49" s="149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49"/>
      <c r="M49" s="149"/>
    </row>
    <row r="50" spans="1:13" x14ac:dyDescent="0.2">
      <c r="A50" s="171" t="s">
        <v>43</v>
      </c>
      <c r="B50" s="51"/>
      <c r="C50" s="62"/>
      <c r="D50" s="62"/>
      <c r="E50" s="62"/>
      <c r="F50" s="62"/>
      <c r="G50" s="51"/>
      <c r="H50" s="51"/>
      <c r="I50" s="51"/>
      <c r="J50" s="51"/>
      <c r="K50" s="51"/>
      <c r="L50" s="149"/>
      <c r="M50" s="149"/>
    </row>
    <row r="51" spans="1:13" x14ac:dyDescent="0.2">
      <c r="A51" s="172" t="s">
        <v>44</v>
      </c>
      <c r="B51" s="53">
        <f>+(B14/360)*B33</f>
        <v>2170.1388888888891</v>
      </c>
      <c r="C51" s="53">
        <f t="shared" ref="C51:K51" ca="1" si="27">+(C14/360)*C33</f>
        <v>2301.6960028783078</v>
      </c>
      <c r="D51" s="53">
        <f t="shared" ca="1" si="27"/>
        <v>2531.6138270260935</v>
      </c>
      <c r="E51" s="53">
        <f t="shared" ca="1" si="27"/>
        <v>2785.0425316401147</v>
      </c>
      <c r="F51" s="53">
        <f t="shared" ca="1" si="27"/>
        <v>3064.1214088335628</v>
      </c>
      <c r="G51" s="53">
        <f t="shared" ca="1" si="27"/>
        <v>3371.4240298717373</v>
      </c>
      <c r="H51" s="53">
        <f t="shared" ca="1" si="27"/>
        <v>3709.7772667159929</v>
      </c>
      <c r="I51" s="53">
        <f t="shared" ca="1" si="27"/>
        <v>4082.290862512054</v>
      </c>
      <c r="J51" s="53">
        <f t="shared" ca="1" si="27"/>
        <v>4492.3857785839646</v>
      </c>
      <c r="K51" s="53">
        <f t="shared" ca="1" si="27"/>
        <v>4943.8253311527142</v>
      </c>
      <c r="L51" s="149"/>
      <c r="M51" s="149"/>
    </row>
    <row r="52" spans="1:13" x14ac:dyDescent="0.2">
      <c r="A52" s="172" t="s">
        <v>140</v>
      </c>
      <c r="B52" s="53">
        <f>+B34*B18</f>
        <v>200</v>
      </c>
      <c r="C52" s="53">
        <f t="shared" ref="C52:K53" si="28">+C34*C18</f>
        <v>210</v>
      </c>
      <c r="D52" s="53">
        <f t="shared" si="28"/>
        <v>220.5</v>
      </c>
      <c r="E52" s="53">
        <f t="shared" si="28"/>
        <v>231.52500000000001</v>
      </c>
      <c r="F52" s="53">
        <f t="shared" si="28"/>
        <v>243.10125000000005</v>
      </c>
      <c r="G52" s="53">
        <f t="shared" si="28"/>
        <v>255.25631250000006</v>
      </c>
      <c r="H52" s="53">
        <f t="shared" si="28"/>
        <v>268.01912812500012</v>
      </c>
      <c r="I52" s="53">
        <f t="shared" si="28"/>
        <v>281.4200845312501</v>
      </c>
      <c r="J52" s="53">
        <f t="shared" si="28"/>
        <v>295.49108875781263</v>
      </c>
      <c r="K52" s="53">
        <f t="shared" si="28"/>
        <v>310.26564319570326</v>
      </c>
      <c r="L52" s="149"/>
      <c r="M52" s="149"/>
    </row>
    <row r="53" spans="1:13" x14ac:dyDescent="0.2">
      <c r="A53" s="172" t="s">
        <v>141</v>
      </c>
      <c r="B53" s="53">
        <f>+B35*B19</f>
        <v>120</v>
      </c>
      <c r="C53" s="53">
        <f t="shared" si="28"/>
        <v>129.6</v>
      </c>
      <c r="D53" s="53">
        <f t="shared" si="28"/>
        <v>139.96800000000002</v>
      </c>
      <c r="E53" s="53">
        <f t="shared" si="28"/>
        <v>151.16544000000002</v>
      </c>
      <c r="F53" s="53">
        <f t="shared" si="28"/>
        <v>163.25867520000003</v>
      </c>
      <c r="G53" s="53">
        <f t="shared" si="28"/>
        <v>176.31936921600004</v>
      </c>
      <c r="H53" s="53">
        <f t="shared" si="28"/>
        <v>190.42491875328005</v>
      </c>
      <c r="I53" s="53">
        <f t="shared" si="28"/>
        <v>205.65891225354247</v>
      </c>
      <c r="J53" s="53">
        <f t="shared" si="28"/>
        <v>222.11162523382589</v>
      </c>
      <c r="K53" s="53">
        <f t="shared" si="28"/>
        <v>239.88055525253196</v>
      </c>
      <c r="L53" s="149"/>
      <c r="M53" s="149"/>
    </row>
    <row r="54" spans="1:13" x14ac:dyDescent="0.2">
      <c r="A54" s="172" t="s">
        <v>45</v>
      </c>
      <c r="B54" s="53">
        <f ca="1">+B25</f>
        <v>906.25</v>
      </c>
      <c r="C54" s="53">
        <f t="shared" ref="C54:K54" ca="1" si="29">+C25</f>
        <v>1251.2434144977465</v>
      </c>
      <c r="D54" s="53">
        <f t="shared" ca="1" si="29"/>
        <v>1630.5452205013269</v>
      </c>
      <c r="E54" s="53">
        <f t="shared" ca="1" si="29"/>
        <v>2051.0704954926628</v>
      </c>
      <c r="F54" s="53">
        <f t="shared" ca="1" si="29"/>
        <v>2516.866959226576</v>
      </c>
      <c r="G54" s="53">
        <f t="shared" ca="1" si="29"/>
        <v>3032.6212583979554</v>
      </c>
      <c r="H54" s="53">
        <f t="shared" ca="1" si="29"/>
        <v>3603.5002694173227</v>
      </c>
      <c r="I54" s="53">
        <f t="shared" ca="1" si="29"/>
        <v>4235.1978747960693</v>
      </c>
      <c r="J54" s="53">
        <f t="shared" ca="1" si="29"/>
        <v>4933.9883264212713</v>
      </c>
      <c r="K54" s="53">
        <f t="shared" ca="1" si="29"/>
        <v>5706.7849878347242</v>
      </c>
      <c r="L54" s="149"/>
      <c r="M54" s="149"/>
    </row>
    <row r="55" spans="1:13" x14ac:dyDescent="0.2">
      <c r="A55" s="172" t="s">
        <v>46</v>
      </c>
      <c r="B55" s="156"/>
      <c r="C55" s="154"/>
      <c r="D55" s="154"/>
      <c r="E55" s="154"/>
      <c r="F55" s="154"/>
      <c r="G55" s="156"/>
      <c r="H55" s="156"/>
      <c r="I55" s="156"/>
      <c r="J55" s="156"/>
      <c r="K55" s="156"/>
      <c r="L55" s="149"/>
      <c r="M55" s="149"/>
    </row>
    <row r="56" spans="1:13" x14ac:dyDescent="0.2">
      <c r="A56" s="173" t="s">
        <v>47</v>
      </c>
      <c r="B56" s="169">
        <f ca="1">SUM(B51:B55)</f>
        <v>3396.3888888888891</v>
      </c>
      <c r="C56" s="169">
        <f t="shared" ref="C56:K56" ca="1" si="30">SUM(C51:C55)</f>
        <v>3892.5394173760542</v>
      </c>
      <c r="D56" s="169">
        <f t="shared" ca="1" si="30"/>
        <v>4522.6270475274205</v>
      </c>
      <c r="E56" s="169">
        <f t="shared" ca="1" si="30"/>
        <v>5218.8034671327778</v>
      </c>
      <c r="F56" s="169">
        <f t="shared" ca="1" si="30"/>
        <v>5987.3482932601391</v>
      </c>
      <c r="G56" s="169">
        <f t="shared" ca="1" si="30"/>
        <v>6835.6209699856936</v>
      </c>
      <c r="H56" s="169">
        <f t="shared" ca="1" si="30"/>
        <v>7771.7215830115956</v>
      </c>
      <c r="I56" s="169">
        <f t="shared" ca="1" si="30"/>
        <v>8804.567734092916</v>
      </c>
      <c r="J56" s="169">
        <f t="shared" ca="1" si="30"/>
        <v>9943.9768189968745</v>
      </c>
      <c r="K56" s="169">
        <f t="shared" ca="1" si="30"/>
        <v>11200.756517435673</v>
      </c>
      <c r="L56" s="149"/>
      <c r="M56" s="149"/>
    </row>
    <row r="57" spans="1:13" x14ac:dyDescent="0.2">
      <c r="A57" s="174" t="s">
        <v>48</v>
      </c>
      <c r="B57" s="88">
        <f>20000-B107</f>
        <v>18745.092102349769</v>
      </c>
      <c r="C57" s="106">
        <f>+B57-C107</f>
        <v>17364.693414934514</v>
      </c>
      <c r="D57" s="106">
        <f t="shared" ref="D57:K57" si="31">+C57-D107</f>
        <v>15846.254858777733</v>
      </c>
      <c r="E57" s="106">
        <f t="shared" si="31"/>
        <v>14175.972447005273</v>
      </c>
      <c r="F57" s="106">
        <f t="shared" si="31"/>
        <v>12338.661794055568</v>
      </c>
      <c r="G57" s="106">
        <f t="shared" si="31"/>
        <v>10317.620075810893</v>
      </c>
      <c r="H57" s="106">
        <f t="shared" si="31"/>
        <v>8094.4741857417503</v>
      </c>
      <c r="I57" s="106">
        <f t="shared" si="31"/>
        <v>5649.0137066656935</v>
      </c>
      <c r="J57" s="106">
        <f t="shared" si="31"/>
        <v>2959.0071796820303</v>
      </c>
      <c r="K57" s="106">
        <f t="shared" si="31"/>
        <v>0</v>
      </c>
      <c r="L57" s="149"/>
      <c r="M57" s="170" t="s">
        <v>148</v>
      </c>
    </row>
    <row r="58" spans="1:13" x14ac:dyDescent="0.2">
      <c r="A58" s="173" t="s">
        <v>49</v>
      </c>
      <c r="B58" s="55">
        <f ca="1">+B56+B57</f>
        <v>22141.480991238659</v>
      </c>
      <c r="C58" s="55">
        <f t="shared" ref="C58:K58" ca="1" si="32">+C56+C57</f>
        <v>21257.232832310568</v>
      </c>
      <c r="D58" s="55">
        <f t="shared" ca="1" si="32"/>
        <v>20368.881906305152</v>
      </c>
      <c r="E58" s="55">
        <f t="shared" ca="1" si="32"/>
        <v>19394.775914138052</v>
      </c>
      <c r="F58" s="55">
        <f t="shared" ca="1" si="32"/>
        <v>18326.010087315706</v>
      </c>
      <c r="G58" s="55">
        <f t="shared" ca="1" si="32"/>
        <v>17153.241045796589</v>
      </c>
      <c r="H58" s="55">
        <f t="shared" ca="1" si="32"/>
        <v>15866.195768753347</v>
      </c>
      <c r="I58" s="55">
        <f t="shared" ca="1" si="32"/>
        <v>14453.581440758609</v>
      </c>
      <c r="J58" s="55">
        <f t="shared" ca="1" si="32"/>
        <v>12902.983998678905</v>
      </c>
      <c r="K58" s="55">
        <f t="shared" ca="1" si="32"/>
        <v>11200.756517435673</v>
      </c>
      <c r="L58" s="149"/>
      <c r="M58" s="149"/>
    </row>
    <row r="59" spans="1:13" x14ac:dyDescent="0.2">
      <c r="A59" s="149"/>
      <c r="B59" s="167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3" x14ac:dyDescent="0.2">
      <c r="A60" s="171" t="s">
        <v>50</v>
      </c>
      <c r="B60" s="51"/>
      <c r="C60" s="62"/>
      <c r="D60" s="62"/>
      <c r="E60" s="62"/>
      <c r="F60" s="62"/>
      <c r="G60" s="51"/>
      <c r="H60" s="51"/>
      <c r="I60" s="51"/>
      <c r="J60" s="51"/>
      <c r="K60" s="51"/>
      <c r="L60" s="149"/>
      <c r="M60" s="149"/>
    </row>
    <row r="61" spans="1:13" x14ac:dyDescent="0.2">
      <c r="A61" s="172" t="s">
        <v>51</v>
      </c>
      <c r="B61" s="52">
        <v>31000</v>
      </c>
      <c r="C61" s="52">
        <v>31000</v>
      </c>
      <c r="D61" s="52">
        <v>31000</v>
      </c>
      <c r="E61" s="52">
        <v>31000</v>
      </c>
      <c r="F61" s="52">
        <v>31000</v>
      </c>
      <c r="G61" s="52">
        <v>31000</v>
      </c>
      <c r="H61" s="52">
        <v>31000</v>
      </c>
      <c r="I61" s="52">
        <v>31000</v>
      </c>
      <c r="J61" s="52">
        <v>31000</v>
      </c>
      <c r="K61" s="52">
        <v>31000</v>
      </c>
      <c r="L61" s="149"/>
      <c r="M61" s="170" t="s">
        <v>147</v>
      </c>
    </row>
    <row r="62" spans="1:13" x14ac:dyDescent="0.2">
      <c r="A62" s="172" t="s">
        <v>52</v>
      </c>
      <c r="B62" s="156">
        <f ca="1">+B26</f>
        <v>1593.75</v>
      </c>
      <c r="C62" s="156">
        <f t="shared" ref="C62:K62" ca="1" si="33">+C26</f>
        <v>2200.46255653052</v>
      </c>
      <c r="D62" s="156">
        <f t="shared" ca="1" si="33"/>
        <v>2867.5105601919886</v>
      </c>
      <c r="E62" s="156">
        <f t="shared" ca="1" si="33"/>
        <v>3607.0550093146826</v>
      </c>
      <c r="F62" s="156">
        <f t="shared" ca="1" si="33"/>
        <v>4426.214307605358</v>
      </c>
      <c r="G62" s="156">
        <f t="shared" ca="1" si="33"/>
        <v>5333.2304889067491</v>
      </c>
      <c r="H62" s="156">
        <f t="shared" ca="1" si="33"/>
        <v>6337.1901289752923</v>
      </c>
      <c r="I62" s="156">
        <f t="shared" ca="1" si="33"/>
        <v>7448.1066073999846</v>
      </c>
      <c r="J62" s="156">
        <f t="shared" ca="1" si="33"/>
        <v>8677.0139533615475</v>
      </c>
      <c r="K62" s="156">
        <f t="shared" ca="1" si="33"/>
        <v>10036.070151019689</v>
      </c>
      <c r="L62" s="149"/>
      <c r="M62" s="149"/>
    </row>
    <row r="63" spans="1:13" x14ac:dyDescent="0.2">
      <c r="A63" s="172" t="s">
        <v>53</v>
      </c>
      <c r="B63" s="156">
        <v>0</v>
      </c>
      <c r="C63" s="154">
        <f ca="1">+B63+B28</f>
        <v>637.5</v>
      </c>
      <c r="D63" s="154">
        <f t="shared" ref="D63:K63" ca="1" si="34">+C63+C28</f>
        <v>1517.6850226122081</v>
      </c>
      <c r="E63" s="154">
        <f t="shared" ca="1" si="34"/>
        <v>2664.6892466890035</v>
      </c>
      <c r="F63" s="154">
        <f t="shared" ca="1" si="34"/>
        <v>4107.5112504148765</v>
      </c>
      <c r="G63" s="154">
        <f t="shared" ca="1" si="34"/>
        <v>5877.9969734570204</v>
      </c>
      <c r="H63" s="154">
        <f t="shared" ca="1" si="34"/>
        <v>8011.2891690197202</v>
      </c>
      <c r="I63" s="154">
        <f t="shared" ca="1" si="34"/>
        <v>10546.165220609837</v>
      </c>
      <c r="J63" s="154">
        <f t="shared" ca="1" si="34"/>
        <v>13525.407863569832</v>
      </c>
      <c r="K63" s="154">
        <f t="shared" ca="1" si="34"/>
        <v>16996.213444914451</v>
      </c>
      <c r="L63" s="149"/>
      <c r="M63" s="149"/>
    </row>
    <row r="64" spans="1:13" x14ac:dyDescent="0.2">
      <c r="A64" s="175" t="s">
        <v>54</v>
      </c>
      <c r="B64" s="169">
        <f ca="1">SUM(B61:B63)</f>
        <v>32593.75</v>
      </c>
      <c r="C64" s="169">
        <f t="shared" ref="C64:K64" ca="1" si="35">SUM(C61:C63)</f>
        <v>33837.962556530518</v>
      </c>
      <c r="D64" s="169">
        <f t="shared" ca="1" si="35"/>
        <v>35385.195582804197</v>
      </c>
      <c r="E64" s="169">
        <f t="shared" ca="1" si="35"/>
        <v>37271.744256003687</v>
      </c>
      <c r="F64" s="169">
        <f t="shared" ca="1" si="35"/>
        <v>39533.72555802024</v>
      </c>
      <c r="G64" s="169">
        <f t="shared" ca="1" si="35"/>
        <v>42211.227462363764</v>
      </c>
      <c r="H64" s="169">
        <f t="shared" ca="1" si="35"/>
        <v>45348.479297995014</v>
      </c>
      <c r="I64" s="169">
        <f t="shared" ca="1" si="35"/>
        <v>48994.27182800982</v>
      </c>
      <c r="J64" s="169">
        <f t="shared" ca="1" si="35"/>
        <v>53202.421816931375</v>
      </c>
      <c r="K64" s="169">
        <f t="shared" ca="1" si="35"/>
        <v>58032.283595934139</v>
      </c>
      <c r="L64" s="149"/>
      <c r="M64" s="149"/>
    </row>
    <row r="65" spans="1:13" x14ac:dyDescent="0.2">
      <c r="A65" s="176" t="s">
        <v>55</v>
      </c>
      <c r="B65" s="177">
        <f ca="1">+B58+B64</f>
        <v>54735.230991238655</v>
      </c>
      <c r="C65" s="177">
        <f t="shared" ref="C65:K65" ca="1" si="36">+C58+C64</f>
        <v>55095.195388841086</v>
      </c>
      <c r="D65" s="177">
        <f t="shared" ca="1" si="36"/>
        <v>55754.077489109346</v>
      </c>
      <c r="E65" s="177">
        <f t="shared" ca="1" si="36"/>
        <v>56666.520170141739</v>
      </c>
      <c r="F65" s="177">
        <f t="shared" ca="1" si="36"/>
        <v>57859.735645335946</v>
      </c>
      <c r="G65" s="177">
        <f t="shared" ca="1" si="36"/>
        <v>59364.468508160353</v>
      </c>
      <c r="H65" s="177">
        <f t="shared" ca="1" si="36"/>
        <v>61214.675066748357</v>
      </c>
      <c r="I65" s="177">
        <f t="shared" ca="1" si="36"/>
        <v>63447.853268768427</v>
      </c>
      <c r="J65" s="177">
        <f t="shared" ca="1" si="36"/>
        <v>66105.405815610284</v>
      </c>
      <c r="K65" s="177">
        <f t="shared" ca="1" si="36"/>
        <v>69233.040113369818</v>
      </c>
      <c r="L65" s="149"/>
      <c r="M65" s="149"/>
    </row>
    <row r="66" spans="1:13" x14ac:dyDescent="0.2">
      <c r="A66" s="178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49"/>
      <c r="M66" s="149"/>
    </row>
    <row r="67" spans="1:13" x14ac:dyDescent="0.2">
      <c r="A67" s="149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49"/>
      <c r="M67" s="149"/>
    </row>
    <row r="68" spans="1:13" x14ac:dyDescent="0.2">
      <c r="A68" s="246" t="s">
        <v>56</v>
      </c>
      <c r="B68" s="96"/>
      <c r="C68" s="97"/>
      <c r="D68" s="97"/>
      <c r="E68" s="97"/>
      <c r="F68" s="238" t="s">
        <v>4</v>
      </c>
      <c r="G68" s="238"/>
      <c r="H68" s="97"/>
      <c r="I68" s="97"/>
      <c r="J68" s="97"/>
      <c r="K68" s="98"/>
      <c r="L68" s="149"/>
      <c r="M68" s="149"/>
    </row>
    <row r="69" spans="1:13" x14ac:dyDescent="0.2">
      <c r="A69" s="247"/>
      <c r="B69" s="3">
        <v>2010</v>
      </c>
      <c r="C69" s="3">
        <v>2011</v>
      </c>
      <c r="D69" s="3">
        <v>2012</v>
      </c>
      <c r="E69" s="3">
        <v>2013</v>
      </c>
      <c r="F69" s="3">
        <v>2014</v>
      </c>
      <c r="G69" s="3">
        <v>2015</v>
      </c>
      <c r="H69" s="3">
        <v>2016</v>
      </c>
      <c r="I69" s="3">
        <v>2017</v>
      </c>
      <c r="J69" s="3">
        <v>2018</v>
      </c>
      <c r="K69" s="3">
        <v>2019</v>
      </c>
      <c r="L69" s="149"/>
      <c r="M69" s="149"/>
    </row>
    <row r="70" spans="1:13" x14ac:dyDescent="0.2">
      <c r="A70" s="180" t="s">
        <v>57</v>
      </c>
      <c r="B70" s="181">
        <f ca="1">+B137</f>
        <v>776.89765790532101</v>
      </c>
      <c r="C70" s="181">
        <f t="shared" ref="C70:K70" ca="1" si="37">+C137</f>
        <v>740.64027334547063</v>
      </c>
      <c r="D70" s="181">
        <f t="shared" ca="1" si="37"/>
        <v>964.12383563934418</v>
      </c>
      <c r="E70" s="181">
        <f t="shared" ca="1" si="37"/>
        <v>1397.4964415572522</v>
      </c>
      <c r="F70" s="181">
        <f t="shared" ca="1" si="37"/>
        <v>2063.6410637818308</v>
      </c>
      <c r="G70" s="181">
        <f t="shared" ca="1" si="37"/>
        <v>2988.5012709617877</v>
      </c>
      <c r="H70" s="181">
        <f t="shared" ca="1" si="37"/>
        <v>4200.7518577795463</v>
      </c>
      <c r="I70" s="181">
        <f t="shared" ca="1" si="37"/>
        <v>5732.0810386728626</v>
      </c>
      <c r="J70" s="181">
        <f t="shared" ca="1" si="37"/>
        <v>7617.500735507605</v>
      </c>
      <c r="K70" s="181">
        <f t="shared" ca="1" si="37"/>
        <v>9895.6884194603826</v>
      </c>
      <c r="L70" s="149"/>
      <c r="M70" s="149"/>
    </row>
    <row r="71" spans="1:13" x14ac:dyDescent="0.2">
      <c r="A71" s="182" t="s">
        <v>58</v>
      </c>
      <c r="B71" s="183">
        <f ca="1">+(B44-B41)-(B56-B55)</f>
        <v>561.94444444444389</v>
      </c>
      <c r="C71" s="183">
        <f t="shared" ref="C71:K71" ca="1" si="38">+(C44-C41)-(C56-C55)</f>
        <v>462.01569811956506</v>
      </c>
      <c r="D71" s="183">
        <f t="shared" ca="1" si="38"/>
        <v>267.32660594258778</v>
      </c>
      <c r="E71" s="183">
        <f t="shared" ca="1" si="38"/>
        <v>50.22026145171003</v>
      </c>
      <c r="F71" s="183">
        <f t="shared" ca="1" si="38"/>
        <v>-191.25371170602466</v>
      </c>
      <c r="G71" s="183">
        <f t="shared" ca="1" si="38"/>
        <v>-459.65373278713378</v>
      </c>
      <c r="H71" s="183">
        <f t="shared" ca="1" si="38"/>
        <v>-757.79837404277805</v>
      </c>
      <c r="I71" s="183">
        <f t="shared" ca="1" si="38"/>
        <v>-1088.7955039973531</v>
      </c>
      <c r="J71" s="183">
        <f t="shared" ca="1" si="38"/>
        <v>-1456.0717388941957</v>
      </c>
      <c r="K71" s="183">
        <f t="shared" ca="1" si="38"/>
        <v>-1863.4048235262435</v>
      </c>
      <c r="L71" s="149"/>
      <c r="M71" s="149"/>
    </row>
    <row r="72" spans="1:13" x14ac:dyDescent="0.2">
      <c r="A72" s="182" t="s">
        <v>59</v>
      </c>
      <c r="B72" s="183">
        <f ca="1">+B47</f>
        <v>50000</v>
      </c>
      <c r="C72" s="183">
        <f t="shared" ref="C72:K72" ca="1" si="39">+C47</f>
        <v>50000</v>
      </c>
      <c r="D72" s="183">
        <f t="shared" ca="1" si="39"/>
        <v>50000</v>
      </c>
      <c r="E72" s="183">
        <f t="shared" ca="1" si="39"/>
        <v>50000</v>
      </c>
      <c r="F72" s="183">
        <f t="shared" ca="1" si="39"/>
        <v>50000</v>
      </c>
      <c r="G72" s="183">
        <f t="shared" ca="1" si="39"/>
        <v>50000</v>
      </c>
      <c r="H72" s="183">
        <f t="shared" ca="1" si="39"/>
        <v>50000</v>
      </c>
      <c r="I72" s="183">
        <f t="shared" ca="1" si="39"/>
        <v>50000</v>
      </c>
      <c r="J72" s="183">
        <f t="shared" ca="1" si="39"/>
        <v>50000</v>
      </c>
      <c r="K72" s="183">
        <f t="shared" ca="1" si="39"/>
        <v>50000</v>
      </c>
      <c r="L72" s="149"/>
      <c r="M72" s="149"/>
    </row>
    <row r="73" spans="1:13" x14ac:dyDescent="0.2">
      <c r="A73" s="184" t="s">
        <v>60</v>
      </c>
      <c r="B73" s="177">
        <f ca="1">SUM(B70:B72)</f>
        <v>51338.842102349765</v>
      </c>
      <c r="C73" s="177">
        <f t="shared" ref="C73:K73" ca="1" si="40">SUM(C70:C72)</f>
        <v>51202.655971465036</v>
      </c>
      <c r="D73" s="177">
        <f t="shared" ca="1" si="40"/>
        <v>51231.450441581932</v>
      </c>
      <c r="E73" s="177">
        <f t="shared" ca="1" si="40"/>
        <v>51447.716703008962</v>
      </c>
      <c r="F73" s="177">
        <f t="shared" ca="1" si="40"/>
        <v>51872.387352075806</v>
      </c>
      <c r="G73" s="177">
        <f t="shared" ca="1" si="40"/>
        <v>52528.847538174654</v>
      </c>
      <c r="H73" s="177">
        <f t="shared" ca="1" si="40"/>
        <v>53442.953483736768</v>
      </c>
      <c r="I73" s="177">
        <f t="shared" ca="1" si="40"/>
        <v>54643.28553467551</v>
      </c>
      <c r="J73" s="177">
        <f t="shared" ca="1" si="40"/>
        <v>56161.428996613409</v>
      </c>
      <c r="K73" s="177">
        <f t="shared" ca="1" si="40"/>
        <v>58032.283595934139</v>
      </c>
      <c r="L73" s="149"/>
      <c r="M73" s="149"/>
    </row>
    <row r="74" spans="1:13" x14ac:dyDescent="0.2">
      <c r="A74" s="185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49"/>
      <c r="M74" s="149"/>
    </row>
    <row r="75" spans="1:13" x14ac:dyDescent="0.2">
      <c r="A75" s="180" t="s">
        <v>61</v>
      </c>
      <c r="B75" s="181">
        <f>+B55</f>
        <v>0</v>
      </c>
      <c r="C75" s="181">
        <f t="shared" ref="C75:K75" si="41">+C55</f>
        <v>0</v>
      </c>
      <c r="D75" s="181">
        <f t="shared" si="41"/>
        <v>0</v>
      </c>
      <c r="E75" s="181">
        <f t="shared" si="41"/>
        <v>0</v>
      </c>
      <c r="F75" s="181">
        <f t="shared" si="41"/>
        <v>0</v>
      </c>
      <c r="G75" s="181">
        <f t="shared" si="41"/>
        <v>0</v>
      </c>
      <c r="H75" s="181">
        <f t="shared" si="41"/>
        <v>0</v>
      </c>
      <c r="I75" s="181">
        <f t="shared" si="41"/>
        <v>0</v>
      </c>
      <c r="J75" s="181">
        <f t="shared" si="41"/>
        <v>0</v>
      </c>
      <c r="K75" s="181">
        <f t="shared" si="41"/>
        <v>0</v>
      </c>
      <c r="L75" s="149"/>
      <c r="M75" s="149"/>
    </row>
    <row r="76" spans="1:13" x14ac:dyDescent="0.2">
      <c r="A76" s="182" t="s">
        <v>62</v>
      </c>
      <c r="B76" s="183">
        <f>+B57</f>
        <v>18745.092102349769</v>
      </c>
      <c r="C76" s="183">
        <f t="shared" ref="C76:K76" si="42">+C57</f>
        <v>17364.693414934514</v>
      </c>
      <c r="D76" s="183">
        <f t="shared" si="42"/>
        <v>15846.254858777733</v>
      </c>
      <c r="E76" s="183">
        <f t="shared" si="42"/>
        <v>14175.972447005273</v>
      </c>
      <c r="F76" s="183">
        <f t="shared" si="42"/>
        <v>12338.661794055568</v>
      </c>
      <c r="G76" s="183">
        <f t="shared" si="42"/>
        <v>10317.620075810893</v>
      </c>
      <c r="H76" s="183">
        <f t="shared" si="42"/>
        <v>8094.4741857417503</v>
      </c>
      <c r="I76" s="183">
        <f t="shared" si="42"/>
        <v>5649.0137066656935</v>
      </c>
      <c r="J76" s="183">
        <f t="shared" si="42"/>
        <v>2959.0071796820303</v>
      </c>
      <c r="K76" s="183">
        <f t="shared" si="42"/>
        <v>0</v>
      </c>
      <c r="L76" s="149"/>
      <c r="M76" s="186"/>
    </row>
    <row r="77" spans="1:13" x14ac:dyDescent="0.2">
      <c r="A77" s="182" t="s">
        <v>63</v>
      </c>
      <c r="B77" s="183">
        <f ca="1">+B64</f>
        <v>32593.75</v>
      </c>
      <c r="C77" s="183">
        <f t="shared" ref="C77:K77" ca="1" si="43">+C64</f>
        <v>33837.962556530518</v>
      </c>
      <c r="D77" s="183">
        <f t="shared" ca="1" si="43"/>
        <v>35385.195582804197</v>
      </c>
      <c r="E77" s="183">
        <f t="shared" ca="1" si="43"/>
        <v>37271.744256003687</v>
      </c>
      <c r="F77" s="183">
        <f t="shared" ca="1" si="43"/>
        <v>39533.72555802024</v>
      </c>
      <c r="G77" s="183">
        <f t="shared" ca="1" si="43"/>
        <v>42211.227462363764</v>
      </c>
      <c r="H77" s="183">
        <f t="shared" ca="1" si="43"/>
        <v>45348.479297995014</v>
      </c>
      <c r="I77" s="183">
        <f t="shared" ca="1" si="43"/>
        <v>48994.27182800982</v>
      </c>
      <c r="J77" s="183">
        <f t="shared" ca="1" si="43"/>
        <v>53202.421816931375</v>
      </c>
      <c r="K77" s="183">
        <f t="shared" ca="1" si="43"/>
        <v>58032.283595934139</v>
      </c>
      <c r="L77" s="149"/>
      <c r="M77" s="149"/>
    </row>
    <row r="78" spans="1:13" x14ac:dyDescent="0.2">
      <c r="A78" s="184" t="s">
        <v>64</v>
      </c>
      <c r="B78" s="177">
        <f ca="1">SUM(B75:B77)</f>
        <v>51338.842102349765</v>
      </c>
      <c r="C78" s="177">
        <f t="shared" ref="C78:K78" ca="1" si="44">SUM(C75:C77)</f>
        <v>51202.655971465036</v>
      </c>
      <c r="D78" s="177">
        <f t="shared" ca="1" si="44"/>
        <v>51231.450441581932</v>
      </c>
      <c r="E78" s="177">
        <f t="shared" ca="1" si="44"/>
        <v>51447.716703008962</v>
      </c>
      <c r="F78" s="177">
        <f t="shared" ca="1" si="44"/>
        <v>51872.387352075806</v>
      </c>
      <c r="G78" s="177">
        <f t="shared" ca="1" si="44"/>
        <v>52528.847538174654</v>
      </c>
      <c r="H78" s="177">
        <f t="shared" ca="1" si="44"/>
        <v>53442.953483736768</v>
      </c>
      <c r="I78" s="177">
        <f t="shared" ca="1" si="44"/>
        <v>54643.28553467551</v>
      </c>
      <c r="J78" s="177">
        <f t="shared" ca="1" si="44"/>
        <v>56161.428996613409</v>
      </c>
      <c r="K78" s="177">
        <f t="shared" ca="1" si="44"/>
        <v>58032.283595934139</v>
      </c>
      <c r="L78" s="149"/>
      <c r="M78" s="149"/>
    </row>
    <row r="79" spans="1:13" x14ac:dyDescent="0.2">
      <c r="A79" s="149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49"/>
      <c r="M79" s="149"/>
    </row>
    <row r="80" spans="1:13" x14ac:dyDescent="0.2">
      <c r="A80" s="187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49"/>
      <c r="M80" s="149"/>
    </row>
    <row r="81" spans="1:13" x14ac:dyDescent="0.2">
      <c r="A81" s="246" t="s">
        <v>78</v>
      </c>
      <c r="B81" s="114"/>
      <c r="C81" s="115"/>
      <c r="D81" s="115"/>
      <c r="E81" s="115"/>
      <c r="F81" s="227" t="s">
        <v>4</v>
      </c>
      <c r="G81" s="248"/>
      <c r="H81" s="115"/>
      <c r="I81" s="115"/>
      <c r="J81" s="115"/>
      <c r="K81" s="116"/>
      <c r="L81" s="149"/>
      <c r="M81" s="149"/>
    </row>
    <row r="82" spans="1:13" x14ac:dyDescent="0.2">
      <c r="A82" s="247"/>
      <c r="B82" s="91">
        <v>2010</v>
      </c>
      <c r="C82" s="91">
        <v>2011</v>
      </c>
      <c r="D82" s="91">
        <v>2012</v>
      </c>
      <c r="E82" s="91">
        <v>2013</v>
      </c>
      <c r="F82" s="91">
        <v>2014</v>
      </c>
      <c r="G82" s="91">
        <v>2015</v>
      </c>
      <c r="H82" s="91">
        <v>2016</v>
      </c>
      <c r="I82" s="91">
        <v>2017</v>
      </c>
      <c r="J82" s="91">
        <v>2018</v>
      </c>
      <c r="K82" s="91">
        <v>2019</v>
      </c>
      <c r="L82" s="149"/>
      <c r="M82" s="149"/>
    </row>
    <row r="83" spans="1:13" x14ac:dyDescent="0.2">
      <c r="A83" s="176" t="s">
        <v>79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9"/>
      <c r="L83" s="149"/>
      <c r="M83" s="149"/>
    </row>
    <row r="84" spans="1:13" x14ac:dyDescent="0.2">
      <c r="A84" s="171" t="s">
        <v>80</v>
      </c>
      <c r="B84" s="51"/>
      <c r="C84" s="51"/>
      <c r="D84" s="51"/>
      <c r="E84" s="51"/>
      <c r="F84" s="51"/>
      <c r="G84" s="51"/>
      <c r="H84" s="51"/>
      <c r="I84" s="51"/>
      <c r="J84" s="51"/>
      <c r="K84" s="62"/>
      <c r="L84" s="149"/>
      <c r="M84" s="149"/>
    </row>
    <row r="85" spans="1:13" x14ac:dyDescent="0.2">
      <c r="A85" s="172" t="s">
        <v>81</v>
      </c>
      <c r="B85" s="92">
        <f>+B10-B42</f>
        <v>22916.666666666668</v>
      </c>
      <c r="C85" s="117">
        <f>+B42+C10-C42</f>
        <v>27291.666666666668</v>
      </c>
      <c r="D85" s="117">
        <f t="shared" ref="D85:K85" si="45">+C42+D10-D42</f>
        <v>30020.833333333343</v>
      </c>
      <c r="E85" s="117">
        <f t="shared" si="45"/>
        <v>33022.916666666679</v>
      </c>
      <c r="F85" s="117">
        <f t="shared" si="45"/>
        <v>36325.208333333343</v>
      </c>
      <c r="G85" s="117">
        <f t="shared" si="45"/>
        <v>39957.729166666686</v>
      </c>
      <c r="H85" s="117">
        <f t="shared" si="45"/>
        <v>43953.502083333369</v>
      </c>
      <c r="I85" s="117">
        <f t="shared" si="45"/>
        <v>48348.852291666699</v>
      </c>
      <c r="J85" s="117">
        <f t="shared" si="45"/>
        <v>53183.737520833376</v>
      </c>
      <c r="K85" s="117">
        <f t="shared" si="45"/>
        <v>58502.111272916714</v>
      </c>
      <c r="L85" s="149"/>
      <c r="M85" s="149"/>
    </row>
    <row r="86" spans="1:13" x14ac:dyDescent="0.2">
      <c r="A86" s="172" t="s">
        <v>82</v>
      </c>
      <c r="B86" s="156">
        <f>+B11</f>
        <v>0</v>
      </c>
      <c r="C86" s="156">
        <f t="shared" ref="C86:K86" ca="1" si="46">+C11</f>
        <v>15.537953158106484</v>
      </c>
      <c r="D86" s="156">
        <f t="shared" ca="1" si="46"/>
        <v>14.812805466909268</v>
      </c>
      <c r="E86" s="156">
        <f t="shared" ca="1" si="46"/>
        <v>19.282476712786828</v>
      </c>
      <c r="F86" s="156">
        <f t="shared" ca="1" si="46"/>
        <v>27.949928831145115</v>
      </c>
      <c r="G86" s="156">
        <f t="shared" ca="1" si="46"/>
        <v>41.272821275636595</v>
      </c>
      <c r="H86" s="156">
        <f t="shared" ca="1" si="46"/>
        <v>59.770025419235935</v>
      </c>
      <c r="I86" s="156">
        <f t="shared" ca="1" si="46"/>
        <v>84.015037155590946</v>
      </c>
      <c r="J86" s="156">
        <f t="shared" ca="1" si="46"/>
        <v>114.64162077345743</v>
      </c>
      <c r="K86" s="156">
        <f t="shared" ca="1" si="46"/>
        <v>152.35001471015235</v>
      </c>
      <c r="L86" s="149"/>
      <c r="M86" s="149"/>
    </row>
    <row r="87" spans="1:13" x14ac:dyDescent="0.2">
      <c r="A87" s="173" t="s">
        <v>83</v>
      </c>
      <c r="B87" s="160">
        <f>SUM(B85:B86)</f>
        <v>22916.666666666668</v>
      </c>
      <c r="C87" s="160">
        <f t="shared" ref="C87:K87" ca="1" si="47">SUM(C85:C86)</f>
        <v>27307.204619824774</v>
      </c>
      <c r="D87" s="160">
        <f t="shared" ca="1" si="47"/>
        <v>30035.646138800254</v>
      </c>
      <c r="E87" s="160">
        <f t="shared" ca="1" si="47"/>
        <v>33042.199143379468</v>
      </c>
      <c r="F87" s="160">
        <f t="shared" ca="1" si="47"/>
        <v>36353.158262164485</v>
      </c>
      <c r="G87" s="160">
        <f t="shared" ca="1" si="47"/>
        <v>39999.00198794232</v>
      </c>
      <c r="H87" s="160">
        <f t="shared" ca="1" si="47"/>
        <v>44013.272108752608</v>
      </c>
      <c r="I87" s="160">
        <f t="shared" ca="1" si="47"/>
        <v>48432.867328822293</v>
      </c>
      <c r="J87" s="160">
        <f t="shared" ca="1" si="47"/>
        <v>53298.379141606834</v>
      </c>
      <c r="K87" s="160">
        <f t="shared" ca="1" si="47"/>
        <v>58654.461287626866</v>
      </c>
      <c r="L87" s="149"/>
      <c r="M87" s="149"/>
    </row>
    <row r="88" spans="1:13" x14ac:dyDescent="0.2">
      <c r="A88" s="171" t="s">
        <v>84</v>
      </c>
      <c r="B88" s="51"/>
      <c r="C88" s="62"/>
      <c r="D88" s="62"/>
      <c r="E88" s="62"/>
      <c r="F88" s="62"/>
      <c r="G88" s="51"/>
      <c r="H88" s="51"/>
      <c r="I88" s="51"/>
      <c r="J88" s="51"/>
      <c r="K88" s="62"/>
      <c r="L88" s="149"/>
      <c r="M88" s="149"/>
    </row>
    <row r="89" spans="1:13" x14ac:dyDescent="0.2">
      <c r="A89" s="172" t="s">
        <v>85</v>
      </c>
      <c r="B89" s="92">
        <f>+B14-B51</f>
        <v>13454.861111111111</v>
      </c>
      <c r="C89" s="117">
        <f ca="1">+B51+C14-C51</f>
        <v>16440.654106734401</v>
      </c>
      <c r="D89" s="117">
        <f t="shared" ref="D89:K89" ca="1" si="48">+C51+D14-D51</f>
        <v>17997.701730440087</v>
      </c>
      <c r="E89" s="117">
        <f t="shared" ca="1" si="48"/>
        <v>19798.877523194802</v>
      </c>
      <c r="F89" s="117">
        <f t="shared" ca="1" si="48"/>
        <v>21782.595266408207</v>
      </c>
      <c r="G89" s="117">
        <f t="shared" ca="1" si="48"/>
        <v>23966.950394038329</v>
      </c>
      <c r="H89" s="117">
        <f t="shared" ca="1" si="48"/>
        <v>26372.043083510896</v>
      </c>
      <c r="I89" s="117">
        <f t="shared" ca="1" si="48"/>
        <v>29019.980614290725</v>
      </c>
      <c r="J89" s="117">
        <f t="shared" ca="1" si="48"/>
        <v>31935.082689732633</v>
      </c>
      <c r="K89" s="117">
        <f t="shared" ca="1" si="48"/>
        <v>35144.102831730794</v>
      </c>
      <c r="L89" s="149"/>
      <c r="M89" s="149"/>
    </row>
    <row r="90" spans="1:13" x14ac:dyDescent="0.2">
      <c r="A90" s="172" t="s">
        <v>142</v>
      </c>
      <c r="B90" s="92">
        <f>+B18-B52</f>
        <v>1800</v>
      </c>
      <c r="C90" s="117">
        <f>+B52+C18-C52</f>
        <v>2090</v>
      </c>
      <c r="D90" s="117">
        <f t="shared" ref="D90:K91" si="49">+C52+D18-D52</f>
        <v>2194.5</v>
      </c>
      <c r="E90" s="117">
        <f t="shared" si="49"/>
        <v>2304.2249999999999</v>
      </c>
      <c r="F90" s="117">
        <f t="shared" si="49"/>
        <v>2419.4362500000002</v>
      </c>
      <c r="G90" s="117">
        <f t="shared" si="49"/>
        <v>2540.4080625000006</v>
      </c>
      <c r="H90" s="117">
        <f t="shared" si="49"/>
        <v>2667.4284656250011</v>
      </c>
      <c r="I90" s="117">
        <f t="shared" si="49"/>
        <v>2800.7998889062505</v>
      </c>
      <c r="J90" s="117">
        <f t="shared" si="49"/>
        <v>2940.8398833515639</v>
      </c>
      <c r="K90" s="117">
        <f t="shared" si="49"/>
        <v>3087.8818775191417</v>
      </c>
      <c r="L90" s="149"/>
      <c r="M90" s="149"/>
    </row>
    <row r="91" spans="1:13" x14ac:dyDescent="0.2">
      <c r="A91" s="172" t="s">
        <v>143</v>
      </c>
      <c r="B91" s="92">
        <f>+B19-B53</f>
        <v>880</v>
      </c>
      <c r="C91" s="117">
        <f>+B53+C19-C53</f>
        <v>1070.4000000000001</v>
      </c>
      <c r="D91" s="117">
        <f t="shared" si="49"/>
        <v>1156.0319999999999</v>
      </c>
      <c r="E91" s="117">
        <f t="shared" si="49"/>
        <v>1248.5145600000003</v>
      </c>
      <c r="F91" s="117">
        <f t="shared" si="49"/>
        <v>1348.3957248000004</v>
      </c>
      <c r="G91" s="117">
        <f t="shared" si="49"/>
        <v>1456.2673827840003</v>
      </c>
      <c r="H91" s="117">
        <f t="shared" si="49"/>
        <v>1572.7687734067206</v>
      </c>
      <c r="I91" s="117">
        <f t="shared" si="49"/>
        <v>1698.5902752792583</v>
      </c>
      <c r="J91" s="117">
        <f t="shared" si="49"/>
        <v>1834.477497301599</v>
      </c>
      <c r="K91" s="117">
        <f t="shared" si="49"/>
        <v>1981.2356970857272</v>
      </c>
      <c r="L91" s="149"/>
      <c r="M91" s="149"/>
    </row>
    <row r="92" spans="1:13" x14ac:dyDescent="0.2">
      <c r="A92" s="172" t="s">
        <v>144</v>
      </c>
      <c r="B92" s="92">
        <f ca="1">+B25-B54</f>
        <v>0</v>
      </c>
      <c r="C92" s="117">
        <f ca="1">+B54+C25-C54</f>
        <v>906.25</v>
      </c>
      <c r="D92" s="117">
        <f t="shared" ref="D92:K92" ca="1" si="50">+C54+D25-D54</f>
        <v>1251.2434144977462</v>
      </c>
      <c r="E92" s="117">
        <f t="shared" ca="1" si="50"/>
        <v>1630.5452205013266</v>
      </c>
      <c r="F92" s="117">
        <f t="shared" ca="1" si="50"/>
        <v>2051.0704954926623</v>
      </c>
      <c r="G92" s="117">
        <f t="shared" ca="1" si="50"/>
        <v>2516.8669592265765</v>
      </c>
      <c r="H92" s="117">
        <f t="shared" ca="1" si="50"/>
        <v>3032.621258397955</v>
      </c>
      <c r="I92" s="117">
        <f t="shared" ca="1" si="50"/>
        <v>3603.5002694173227</v>
      </c>
      <c r="J92" s="117">
        <f t="shared" ca="1" si="50"/>
        <v>4235.1978747960693</v>
      </c>
      <c r="K92" s="117">
        <f t="shared" ca="1" si="50"/>
        <v>4933.9883264212713</v>
      </c>
      <c r="L92" s="149"/>
      <c r="M92" s="149"/>
    </row>
    <row r="93" spans="1:13" x14ac:dyDescent="0.2">
      <c r="A93" s="173" t="s">
        <v>86</v>
      </c>
      <c r="B93" s="50">
        <f ca="1">SUM(B89:B92)</f>
        <v>16134.861111111111</v>
      </c>
      <c r="C93" s="50">
        <f t="shared" ref="C93:K93" ca="1" si="51">SUM(C89:C92)</f>
        <v>20507.304106734402</v>
      </c>
      <c r="D93" s="50">
        <f t="shared" ca="1" si="51"/>
        <v>22599.477144937831</v>
      </c>
      <c r="E93" s="50">
        <f t="shared" ca="1" si="51"/>
        <v>24982.162303696128</v>
      </c>
      <c r="F93" s="50">
        <f t="shared" ca="1" si="51"/>
        <v>27601.497736700869</v>
      </c>
      <c r="G93" s="50">
        <f t="shared" ca="1" si="51"/>
        <v>30480.492798548905</v>
      </c>
      <c r="H93" s="50">
        <f t="shared" ca="1" si="51"/>
        <v>33644.861580940575</v>
      </c>
      <c r="I93" s="50">
        <f t="shared" ca="1" si="51"/>
        <v>37122.871047893561</v>
      </c>
      <c r="J93" s="50">
        <f t="shared" ca="1" si="51"/>
        <v>40945.597945181864</v>
      </c>
      <c r="K93" s="50">
        <f t="shared" ca="1" si="51"/>
        <v>45147.208732756932</v>
      </c>
      <c r="L93" s="149"/>
      <c r="M93" s="149"/>
    </row>
    <row r="94" spans="1:13" x14ac:dyDescent="0.2">
      <c r="A94" s="171" t="s">
        <v>87</v>
      </c>
      <c r="B94" s="51">
        <f ca="1">+B87-B93</f>
        <v>6781.8055555555566</v>
      </c>
      <c r="C94" s="51">
        <f t="shared" ref="C94:K94" ca="1" si="52">+C87-C93</f>
        <v>6799.9005130903715</v>
      </c>
      <c r="D94" s="51">
        <f t="shared" ca="1" si="52"/>
        <v>7436.1689938624222</v>
      </c>
      <c r="E94" s="51">
        <f t="shared" ca="1" si="52"/>
        <v>8060.0368396833401</v>
      </c>
      <c r="F94" s="51">
        <f t="shared" ca="1" si="52"/>
        <v>8751.6605254636161</v>
      </c>
      <c r="G94" s="51">
        <f t="shared" ca="1" si="52"/>
        <v>9518.509189393415</v>
      </c>
      <c r="H94" s="51">
        <f t="shared" ca="1" si="52"/>
        <v>10368.410527812033</v>
      </c>
      <c r="I94" s="51">
        <f t="shared" ca="1" si="52"/>
        <v>11309.996280928732</v>
      </c>
      <c r="J94" s="51">
        <f t="shared" ca="1" si="52"/>
        <v>12352.78119642497</v>
      </c>
      <c r="K94" s="51">
        <f t="shared" ca="1" si="52"/>
        <v>13507.252554869934</v>
      </c>
      <c r="L94" s="149"/>
      <c r="M94" s="149"/>
    </row>
    <row r="95" spans="1:13" x14ac:dyDescent="0.2">
      <c r="A95" s="172" t="s">
        <v>88</v>
      </c>
      <c r="B95" s="92">
        <f>1000-B40</f>
        <v>-250</v>
      </c>
      <c r="C95" s="117">
        <f>+B40-C40</f>
        <v>-125.00000000000023</v>
      </c>
      <c r="D95" s="117">
        <f t="shared" ref="D95:K95" si="53">+C40-D40</f>
        <v>-137.50000000000023</v>
      </c>
      <c r="E95" s="117">
        <f t="shared" si="53"/>
        <v>-151.25</v>
      </c>
      <c r="F95" s="117">
        <f t="shared" si="53"/>
        <v>-166.37500000000045</v>
      </c>
      <c r="G95" s="117">
        <f t="shared" si="53"/>
        <v>-183.01250000000027</v>
      </c>
      <c r="H95" s="117">
        <f t="shared" si="53"/>
        <v>-201.31375000000025</v>
      </c>
      <c r="I95" s="117">
        <f t="shared" si="53"/>
        <v>-221.44512500000019</v>
      </c>
      <c r="J95" s="117">
        <f t="shared" si="53"/>
        <v>-243.58963750000066</v>
      </c>
      <c r="K95" s="117">
        <f t="shared" si="53"/>
        <v>-267.94860125000059</v>
      </c>
      <c r="L95" s="149"/>
      <c r="M95" s="149"/>
    </row>
    <row r="96" spans="1:13" x14ac:dyDescent="0.2">
      <c r="A96" s="173" t="s">
        <v>89</v>
      </c>
      <c r="B96" s="50">
        <f ca="1">SUM(B94:B95)</f>
        <v>6531.8055555555566</v>
      </c>
      <c r="C96" s="50">
        <f t="shared" ref="C96:K96" ca="1" si="54">SUM(C94:C95)</f>
        <v>6674.9005130903715</v>
      </c>
      <c r="D96" s="50">
        <f t="shared" ca="1" si="54"/>
        <v>7298.6689938624222</v>
      </c>
      <c r="E96" s="50">
        <f t="shared" ca="1" si="54"/>
        <v>7908.7868396833401</v>
      </c>
      <c r="F96" s="50">
        <f t="shared" ca="1" si="54"/>
        <v>8585.2855254636161</v>
      </c>
      <c r="G96" s="50">
        <f t="shared" ca="1" si="54"/>
        <v>9335.4966893934143</v>
      </c>
      <c r="H96" s="50">
        <f t="shared" ca="1" si="54"/>
        <v>10167.096777812032</v>
      </c>
      <c r="I96" s="50">
        <f t="shared" ca="1" si="54"/>
        <v>11088.551155928732</v>
      </c>
      <c r="J96" s="50">
        <f t="shared" ca="1" si="54"/>
        <v>12109.191558924969</v>
      </c>
      <c r="K96" s="50">
        <f t="shared" ca="1" si="54"/>
        <v>13239.303953619934</v>
      </c>
      <c r="L96" s="149"/>
      <c r="M96" s="149"/>
    </row>
    <row r="97" spans="1:13" x14ac:dyDescent="0.2">
      <c r="A97" s="149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49"/>
      <c r="M97" s="149"/>
    </row>
    <row r="98" spans="1:13" x14ac:dyDescent="0.2">
      <c r="A98" s="176" t="s">
        <v>90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63"/>
      <c r="L98" s="149"/>
      <c r="M98" s="149"/>
    </row>
    <row r="99" spans="1:13" x14ac:dyDescent="0.2">
      <c r="A99" s="172" t="s">
        <v>91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54"/>
      <c r="L99" s="149"/>
      <c r="M99" s="149"/>
    </row>
    <row r="100" spans="1:13" x14ac:dyDescent="0.2">
      <c r="A100" s="172" t="s">
        <v>92</v>
      </c>
      <c r="B100" s="92">
        <f ca="1">+B21</f>
        <v>2500</v>
      </c>
      <c r="C100" s="92">
        <f t="shared" ref="C100:K100" ca="1" si="55">+C21</f>
        <v>2500</v>
      </c>
      <c r="D100" s="92">
        <f t="shared" ca="1" si="55"/>
        <v>2500</v>
      </c>
      <c r="E100" s="92">
        <f t="shared" ca="1" si="55"/>
        <v>2500</v>
      </c>
      <c r="F100" s="92">
        <f t="shared" ca="1" si="55"/>
        <v>2500</v>
      </c>
      <c r="G100" s="92">
        <f t="shared" ca="1" si="55"/>
        <v>2500</v>
      </c>
      <c r="H100" s="92">
        <f t="shared" ca="1" si="55"/>
        <v>2500</v>
      </c>
      <c r="I100" s="92">
        <f ca="1">+I21</f>
        <v>2500</v>
      </c>
      <c r="J100" s="92">
        <f t="shared" ca="1" si="55"/>
        <v>2500</v>
      </c>
      <c r="K100" s="92">
        <f t="shared" ca="1" si="55"/>
        <v>2500</v>
      </c>
      <c r="L100" s="149"/>
      <c r="M100" s="149"/>
    </row>
    <row r="101" spans="1:13" x14ac:dyDescent="0.2">
      <c r="A101" s="175" t="s">
        <v>93</v>
      </c>
      <c r="B101" s="48">
        <f ca="1">+B99-B100</f>
        <v>-2500</v>
      </c>
      <c r="C101" s="48">
        <f t="shared" ref="C101:K101" ca="1" si="56">+C99-C100</f>
        <v>-2500</v>
      </c>
      <c r="D101" s="48">
        <f t="shared" ca="1" si="56"/>
        <v>-2500</v>
      </c>
      <c r="E101" s="48">
        <f t="shared" ca="1" si="56"/>
        <v>-2500</v>
      </c>
      <c r="F101" s="48">
        <f t="shared" ca="1" si="56"/>
        <v>-2500</v>
      </c>
      <c r="G101" s="48">
        <f t="shared" ca="1" si="56"/>
        <v>-2500</v>
      </c>
      <c r="H101" s="48">
        <f t="shared" ca="1" si="56"/>
        <v>-2500</v>
      </c>
      <c r="I101" s="48">
        <f t="shared" ca="1" si="56"/>
        <v>-2500</v>
      </c>
      <c r="J101" s="48">
        <f t="shared" ca="1" si="56"/>
        <v>-2500</v>
      </c>
      <c r="K101" s="48">
        <f t="shared" ca="1" si="56"/>
        <v>-2500</v>
      </c>
      <c r="L101" s="149"/>
      <c r="M101" s="149"/>
    </row>
    <row r="102" spans="1:13" x14ac:dyDescent="0.2">
      <c r="A102" s="176" t="s">
        <v>94</v>
      </c>
      <c r="B102" s="67">
        <f ca="1">+B96+B101</f>
        <v>4031.8055555555566</v>
      </c>
      <c r="C102" s="67">
        <f t="shared" ref="C102:K102" ca="1" si="57">+C96+C101</f>
        <v>4174.9005130903715</v>
      </c>
      <c r="D102" s="67">
        <f t="shared" ca="1" si="57"/>
        <v>4798.6689938624222</v>
      </c>
      <c r="E102" s="67">
        <f t="shared" ca="1" si="57"/>
        <v>5408.7868396833401</v>
      </c>
      <c r="F102" s="67">
        <f t="shared" ca="1" si="57"/>
        <v>6085.2855254636161</v>
      </c>
      <c r="G102" s="67">
        <f t="shared" ca="1" si="57"/>
        <v>6835.4966893934143</v>
      </c>
      <c r="H102" s="67">
        <f t="shared" ca="1" si="57"/>
        <v>7667.0967778120321</v>
      </c>
      <c r="I102" s="67">
        <f t="shared" ca="1" si="57"/>
        <v>8588.5511559287315</v>
      </c>
      <c r="J102" s="67">
        <f t="shared" ca="1" si="57"/>
        <v>9609.1915589249693</v>
      </c>
      <c r="K102" s="67">
        <f t="shared" ca="1" si="57"/>
        <v>10739.303953619934</v>
      </c>
      <c r="L102" s="149"/>
      <c r="M102" s="149"/>
    </row>
    <row r="103" spans="1:13" x14ac:dyDescent="0.2">
      <c r="A103" s="149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49"/>
      <c r="M103" s="149"/>
    </row>
    <row r="104" spans="1:13" x14ac:dyDescent="0.2">
      <c r="A104" s="176" t="s">
        <v>95</v>
      </c>
      <c r="B104" s="192">
        <v>1</v>
      </c>
      <c r="C104" s="192">
        <v>2</v>
      </c>
      <c r="D104" s="192">
        <v>3</v>
      </c>
      <c r="E104" s="192">
        <v>4</v>
      </c>
      <c r="F104" s="192">
        <v>5</v>
      </c>
      <c r="G104" s="192">
        <v>6</v>
      </c>
      <c r="H104" s="192">
        <v>7</v>
      </c>
      <c r="I104" s="192">
        <v>8</v>
      </c>
      <c r="J104" s="192">
        <v>9</v>
      </c>
      <c r="K104" s="192">
        <v>10</v>
      </c>
      <c r="L104" s="149"/>
      <c r="M104" s="149"/>
    </row>
    <row r="105" spans="1:13" x14ac:dyDescent="0.2">
      <c r="A105" s="171" t="s">
        <v>43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52"/>
      <c r="L105" s="149"/>
      <c r="M105" s="149"/>
    </row>
    <row r="106" spans="1:13" x14ac:dyDescent="0.2">
      <c r="A106" s="172" t="s">
        <v>96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4"/>
      <c r="L106" s="149"/>
      <c r="M106" s="149"/>
    </row>
    <row r="107" spans="1:13" x14ac:dyDescent="0.2">
      <c r="A107" s="172" t="s">
        <v>97</v>
      </c>
      <c r="B107" s="117">
        <f>+PPMT(10%,B104,10,-20000)</f>
        <v>1254.9078976502324</v>
      </c>
      <c r="C107" s="117">
        <f t="shared" ref="C107:K107" si="58">+PPMT(10%,C104,10,-20000)</f>
        <v>1380.3986874152556</v>
      </c>
      <c r="D107" s="117">
        <f t="shared" si="58"/>
        <v>1518.438556156781</v>
      </c>
      <c r="E107" s="117">
        <f t="shared" si="58"/>
        <v>1670.2824117724592</v>
      </c>
      <c r="F107" s="117">
        <f t="shared" si="58"/>
        <v>1837.3106529497052</v>
      </c>
      <c r="G107" s="117">
        <f t="shared" si="58"/>
        <v>2021.0417182446754</v>
      </c>
      <c r="H107" s="117">
        <f t="shared" si="58"/>
        <v>2223.1458900691432</v>
      </c>
      <c r="I107" s="117">
        <f t="shared" si="58"/>
        <v>2445.4604790760573</v>
      </c>
      <c r="J107" s="117">
        <f t="shared" si="58"/>
        <v>2690.0065269836632</v>
      </c>
      <c r="K107" s="117">
        <f t="shared" si="58"/>
        <v>2959.0071796820293</v>
      </c>
      <c r="L107" s="149"/>
      <c r="M107" s="149"/>
    </row>
    <row r="108" spans="1:13" x14ac:dyDescent="0.2">
      <c r="A108" s="172" t="s">
        <v>98</v>
      </c>
      <c r="B108" s="156">
        <f>+B23</f>
        <v>2000</v>
      </c>
      <c r="C108" s="156">
        <f t="shared" ref="C108:K108" si="59">+C23</f>
        <v>1874.509210234977</v>
      </c>
      <c r="D108" s="156">
        <f t="shared" si="59"/>
        <v>1736.4693414934516</v>
      </c>
      <c r="E108" s="156">
        <f t="shared" si="59"/>
        <v>1584.6254858777734</v>
      </c>
      <c r="F108" s="156">
        <f t="shared" si="59"/>
        <v>1417.5972447005274</v>
      </c>
      <c r="G108" s="156">
        <f t="shared" si="59"/>
        <v>1233.866179405557</v>
      </c>
      <c r="H108" s="156">
        <f t="shared" si="59"/>
        <v>1031.7620075810894</v>
      </c>
      <c r="I108" s="156">
        <f t="shared" si="59"/>
        <v>809.44741857417512</v>
      </c>
      <c r="J108" s="156">
        <f t="shared" si="59"/>
        <v>564.90137066656939</v>
      </c>
      <c r="K108" s="156">
        <f t="shared" si="59"/>
        <v>295.90071796820303</v>
      </c>
      <c r="L108" s="149"/>
      <c r="M108" s="149"/>
    </row>
    <row r="109" spans="1:13" x14ac:dyDescent="0.2">
      <c r="A109" s="173" t="s">
        <v>99</v>
      </c>
      <c r="B109" s="160">
        <f>SUM(B107:B108)</f>
        <v>3254.9078976502324</v>
      </c>
      <c r="C109" s="160">
        <f t="shared" ref="C109:K109" si="60">SUM(C107:C108)</f>
        <v>3254.9078976502324</v>
      </c>
      <c r="D109" s="160">
        <f t="shared" si="60"/>
        <v>3254.9078976502324</v>
      </c>
      <c r="E109" s="160">
        <f t="shared" si="60"/>
        <v>3254.9078976502324</v>
      </c>
      <c r="F109" s="160">
        <f t="shared" si="60"/>
        <v>3254.9078976502324</v>
      </c>
      <c r="G109" s="160">
        <f t="shared" si="60"/>
        <v>3254.9078976502324</v>
      </c>
      <c r="H109" s="160">
        <f t="shared" si="60"/>
        <v>3254.9078976502324</v>
      </c>
      <c r="I109" s="160">
        <f t="shared" si="60"/>
        <v>3254.9078976502324</v>
      </c>
      <c r="J109" s="160">
        <f t="shared" si="60"/>
        <v>3254.9078976502324</v>
      </c>
      <c r="K109" s="160">
        <f t="shared" si="60"/>
        <v>3254.9078976502324</v>
      </c>
      <c r="L109" s="149"/>
      <c r="M109" s="149"/>
    </row>
    <row r="110" spans="1:13" x14ac:dyDescent="0.2">
      <c r="A110" s="175" t="s">
        <v>50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4"/>
      <c r="L110" s="149"/>
      <c r="M110" s="149"/>
    </row>
    <row r="111" spans="1:13" x14ac:dyDescent="0.2">
      <c r="A111" s="172" t="s">
        <v>100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4"/>
      <c r="L111" s="149"/>
      <c r="M111" s="149"/>
    </row>
    <row r="112" spans="1:13" x14ac:dyDescent="0.2">
      <c r="A112" s="172" t="s">
        <v>101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4"/>
      <c r="L112" s="149"/>
      <c r="M112" s="149"/>
    </row>
    <row r="113" spans="1:13" x14ac:dyDescent="0.2">
      <c r="A113" s="172" t="s">
        <v>102</v>
      </c>
      <c r="B113" s="156">
        <v>0</v>
      </c>
      <c r="C113" s="154">
        <f ca="1">+B27</f>
        <v>956.25</v>
      </c>
      <c r="D113" s="154">
        <f t="shared" ref="D113:K113" ca="1" si="61">+C27</f>
        <v>1320.277533918312</v>
      </c>
      <c r="E113" s="154">
        <f t="shared" ca="1" si="61"/>
        <v>1720.5063361151931</v>
      </c>
      <c r="F113" s="154">
        <f t="shared" ca="1" si="61"/>
        <v>2164.2330055888096</v>
      </c>
      <c r="G113" s="154">
        <f t="shared" ca="1" si="61"/>
        <v>2655.7285845632146</v>
      </c>
      <c r="H113" s="154">
        <f t="shared" ca="1" si="61"/>
        <v>3199.9382933440493</v>
      </c>
      <c r="I113" s="154">
        <f t="shared" ca="1" si="61"/>
        <v>3802.3140773851751</v>
      </c>
      <c r="J113" s="154">
        <f t="shared" ca="1" si="61"/>
        <v>4468.8639644399909</v>
      </c>
      <c r="K113" s="154">
        <f t="shared" ca="1" si="61"/>
        <v>5206.2083720169285</v>
      </c>
      <c r="L113" s="149"/>
      <c r="M113" s="149"/>
    </row>
    <row r="114" spans="1:13" x14ac:dyDescent="0.2">
      <c r="A114" s="173" t="s">
        <v>103</v>
      </c>
      <c r="B114" s="156">
        <f>SUM(B111:B113)</f>
        <v>0</v>
      </c>
      <c r="C114" s="156">
        <f t="shared" ref="C114:K114" ca="1" si="62">SUM(C111:C113)</f>
        <v>956.25</v>
      </c>
      <c r="D114" s="156">
        <f t="shared" ca="1" si="62"/>
        <v>1320.277533918312</v>
      </c>
      <c r="E114" s="156">
        <f t="shared" ca="1" si="62"/>
        <v>1720.5063361151931</v>
      </c>
      <c r="F114" s="156">
        <f t="shared" ca="1" si="62"/>
        <v>2164.2330055888096</v>
      </c>
      <c r="G114" s="156">
        <f t="shared" ca="1" si="62"/>
        <v>2655.7285845632146</v>
      </c>
      <c r="H114" s="156">
        <f t="shared" ca="1" si="62"/>
        <v>3199.9382933440493</v>
      </c>
      <c r="I114" s="156">
        <f t="shared" ca="1" si="62"/>
        <v>3802.3140773851751</v>
      </c>
      <c r="J114" s="156">
        <f t="shared" ca="1" si="62"/>
        <v>4468.8639644399909</v>
      </c>
      <c r="K114" s="156">
        <f t="shared" ca="1" si="62"/>
        <v>5206.2083720169285</v>
      </c>
      <c r="L114" s="149"/>
      <c r="M114" s="149"/>
    </row>
    <row r="115" spans="1:13" x14ac:dyDescent="0.2">
      <c r="A115" s="176" t="s">
        <v>104</v>
      </c>
      <c r="B115" s="191">
        <f>+B109+B114</f>
        <v>3254.9078976502324</v>
      </c>
      <c r="C115" s="191">
        <f t="shared" ref="C115:K115" ca="1" si="63">+C109+C114</f>
        <v>4211.1578976502324</v>
      </c>
      <c r="D115" s="191">
        <f t="shared" ca="1" si="63"/>
        <v>4575.1854315685441</v>
      </c>
      <c r="E115" s="191">
        <f t="shared" ca="1" si="63"/>
        <v>4975.4142337654257</v>
      </c>
      <c r="F115" s="191">
        <f t="shared" ca="1" si="63"/>
        <v>5419.140903239042</v>
      </c>
      <c r="G115" s="191">
        <f t="shared" ca="1" si="63"/>
        <v>5910.6364822134474</v>
      </c>
      <c r="H115" s="191">
        <f t="shared" ca="1" si="63"/>
        <v>6454.8461909942816</v>
      </c>
      <c r="I115" s="191">
        <f t="shared" ca="1" si="63"/>
        <v>7057.221975035407</v>
      </c>
      <c r="J115" s="191">
        <f t="shared" ca="1" si="63"/>
        <v>7723.7718620902233</v>
      </c>
      <c r="K115" s="191">
        <f t="shared" ca="1" si="63"/>
        <v>8461.1162696671599</v>
      </c>
      <c r="L115" s="149"/>
      <c r="M115" s="149"/>
    </row>
    <row r="116" spans="1:13" x14ac:dyDescent="0.2">
      <c r="A116" s="149"/>
      <c r="B116" s="190"/>
      <c r="C116" s="193"/>
      <c r="D116" s="193"/>
      <c r="E116" s="193"/>
      <c r="F116" s="190"/>
      <c r="G116" s="167"/>
      <c r="H116" s="167"/>
      <c r="I116" s="167"/>
      <c r="J116" s="167"/>
      <c r="K116" s="167"/>
      <c r="L116" s="194"/>
      <c r="M116" s="149"/>
    </row>
    <row r="117" spans="1:13" x14ac:dyDescent="0.2">
      <c r="A117" s="174" t="s">
        <v>105</v>
      </c>
      <c r="B117" s="168">
        <f ca="1">+B102-B115</f>
        <v>776.89765790532419</v>
      </c>
      <c r="C117" s="168">
        <f t="shared" ref="C117:K117" ca="1" si="64">+C102-C115</f>
        <v>-36.257384559860839</v>
      </c>
      <c r="D117" s="168">
        <f t="shared" ca="1" si="64"/>
        <v>223.48356229387809</v>
      </c>
      <c r="E117" s="168">
        <f t="shared" ca="1" si="64"/>
        <v>433.37260591791437</v>
      </c>
      <c r="F117" s="168">
        <f t="shared" ca="1" si="64"/>
        <v>666.14462222457405</v>
      </c>
      <c r="G117" s="168">
        <f t="shared" ca="1" si="64"/>
        <v>924.86020717996689</v>
      </c>
      <c r="H117" s="168">
        <f t="shared" ca="1" si="64"/>
        <v>1212.2505868177504</v>
      </c>
      <c r="I117" s="168">
        <f t="shared" ca="1" si="64"/>
        <v>1531.3291808933245</v>
      </c>
      <c r="J117" s="168">
        <f t="shared" ca="1" si="64"/>
        <v>1885.419696834746</v>
      </c>
      <c r="K117" s="168">
        <f t="shared" ca="1" si="64"/>
        <v>2278.187683952774</v>
      </c>
      <c r="L117" s="149"/>
      <c r="M117" s="149"/>
    </row>
    <row r="118" spans="1:13" x14ac:dyDescent="0.2">
      <c r="A118" s="173" t="s">
        <v>106</v>
      </c>
      <c r="B118" s="195">
        <f ca="1">+B117</f>
        <v>776.89765790532419</v>
      </c>
      <c r="C118" s="196">
        <f ca="1">+B118+C117</f>
        <v>740.64027334546336</v>
      </c>
      <c r="D118" s="196">
        <f t="shared" ref="D118:K118" ca="1" si="65">+C118+D117</f>
        <v>964.12383563934145</v>
      </c>
      <c r="E118" s="196">
        <f t="shared" ca="1" si="65"/>
        <v>1397.4964415572558</v>
      </c>
      <c r="F118" s="196">
        <f t="shared" ca="1" si="65"/>
        <v>2063.6410637818299</v>
      </c>
      <c r="G118" s="196">
        <f t="shared" ca="1" si="65"/>
        <v>2988.5012709617968</v>
      </c>
      <c r="H118" s="196">
        <f t="shared" ca="1" si="65"/>
        <v>4200.7518577795472</v>
      </c>
      <c r="I118" s="196">
        <f t="shared" ca="1" si="65"/>
        <v>5732.0810386728717</v>
      </c>
      <c r="J118" s="196">
        <f t="shared" ca="1" si="65"/>
        <v>7617.5007355076177</v>
      </c>
      <c r="K118" s="196">
        <f t="shared" ca="1" si="65"/>
        <v>9895.6884194603917</v>
      </c>
      <c r="L118" s="149"/>
      <c r="M118" s="149"/>
    </row>
    <row r="119" spans="1:13" x14ac:dyDescent="0.2">
      <c r="A119" s="187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49"/>
      <c r="M119" s="149"/>
    </row>
    <row r="120" spans="1:13" x14ac:dyDescent="0.2">
      <c r="A120" s="187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49"/>
      <c r="M120" s="149"/>
    </row>
    <row r="121" spans="1:13" x14ac:dyDescent="0.2">
      <c r="A121" s="249" t="s">
        <v>107</v>
      </c>
      <c r="B121" s="227" t="s">
        <v>4</v>
      </c>
      <c r="C121" s="228"/>
      <c r="D121" s="228"/>
      <c r="E121" s="228"/>
      <c r="F121" s="228"/>
      <c r="G121" s="228"/>
      <c r="H121" s="228"/>
      <c r="I121" s="228"/>
      <c r="J121" s="228"/>
      <c r="K121" s="229"/>
      <c r="L121" s="149"/>
      <c r="M121" s="149"/>
    </row>
    <row r="122" spans="1:13" x14ac:dyDescent="0.2">
      <c r="A122" s="250"/>
      <c r="B122" s="91">
        <v>2010</v>
      </c>
      <c r="C122" s="91">
        <v>2011</v>
      </c>
      <c r="D122" s="91">
        <v>2012</v>
      </c>
      <c r="E122" s="91">
        <v>2013</v>
      </c>
      <c r="F122" s="91">
        <v>2014</v>
      </c>
      <c r="G122" s="91">
        <v>2015</v>
      </c>
      <c r="H122" s="91">
        <v>2016</v>
      </c>
      <c r="I122" s="91">
        <v>2017</v>
      </c>
      <c r="J122" s="91">
        <v>2018</v>
      </c>
      <c r="K122" s="91">
        <v>2019</v>
      </c>
      <c r="L122" s="149"/>
      <c r="M122" s="149"/>
    </row>
    <row r="123" spans="1:13" x14ac:dyDescent="0.2">
      <c r="A123" s="197" t="s">
        <v>108</v>
      </c>
      <c r="B123" s="198">
        <f ca="1">+B96</f>
        <v>6531.8055555555566</v>
      </c>
      <c r="C123" s="198">
        <f t="shared" ref="C123:K123" ca="1" si="66">+C96</f>
        <v>6674.9005130903715</v>
      </c>
      <c r="D123" s="198">
        <f t="shared" ca="1" si="66"/>
        <v>7298.6689938624222</v>
      </c>
      <c r="E123" s="198">
        <f t="shared" ca="1" si="66"/>
        <v>7908.7868396833401</v>
      </c>
      <c r="F123" s="198">
        <f t="shared" ca="1" si="66"/>
        <v>8585.2855254636161</v>
      </c>
      <c r="G123" s="198">
        <f t="shared" ca="1" si="66"/>
        <v>9335.4966893934143</v>
      </c>
      <c r="H123" s="198">
        <f t="shared" ca="1" si="66"/>
        <v>10167.096777812032</v>
      </c>
      <c r="I123" s="198">
        <f t="shared" ca="1" si="66"/>
        <v>11088.551155928732</v>
      </c>
      <c r="J123" s="198">
        <f t="shared" ca="1" si="66"/>
        <v>12109.191558924969</v>
      </c>
      <c r="K123" s="168">
        <f t="shared" ca="1" si="66"/>
        <v>13239.303953619934</v>
      </c>
      <c r="L123" s="149"/>
      <c r="M123" s="149"/>
    </row>
    <row r="124" spans="1:13" x14ac:dyDescent="0.2">
      <c r="A124" s="199" t="s">
        <v>109</v>
      </c>
      <c r="B124" s="200">
        <f ca="1">+B101</f>
        <v>-2500</v>
      </c>
      <c r="C124" s="200">
        <f t="shared" ref="C124:K124" ca="1" si="67">+C101</f>
        <v>-2500</v>
      </c>
      <c r="D124" s="200">
        <f t="shared" ca="1" si="67"/>
        <v>-2500</v>
      </c>
      <c r="E124" s="200">
        <f t="shared" ca="1" si="67"/>
        <v>-2500</v>
      </c>
      <c r="F124" s="200">
        <f t="shared" ca="1" si="67"/>
        <v>-2500</v>
      </c>
      <c r="G124" s="200">
        <f t="shared" ca="1" si="67"/>
        <v>-2500</v>
      </c>
      <c r="H124" s="200">
        <f t="shared" ca="1" si="67"/>
        <v>-2500</v>
      </c>
      <c r="I124" s="200">
        <f t="shared" ca="1" si="67"/>
        <v>-2500</v>
      </c>
      <c r="J124" s="200">
        <f t="shared" ca="1" si="67"/>
        <v>-2500</v>
      </c>
      <c r="K124" s="156">
        <f t="shared" ca="1" si="67"/>
        <v>-2500</v>
      </c>
      <c r="L124" s="149"/>
      <c r="M124" s="149"/>
    </row>
    <row r="125" spans="1:13" x14ac:dyDescent="0.2">
      <c r="A125" s="184" t="s">
        <v>110</v>
      </c>
      <c r="B125" s="201">
        <f ca="1">SUM(B123:B124)</f>
        <v>4031.8055555555566</v>
      </c>
      <c r="C125" s="201">
        <f t="shared" ref="C125:K125" ca="1" si="68">SUM(C123:C124)</f>
        <v>4174.9005130903715</v>
      </c>
      <c r="D125" s="201">
        <f t="shared" ca="1" si="68"/>
        <v>4798.6689938624222</v>
      </c>
      <c r="E125" s="201">
        <f t="shared" ca="1" si="68"/>
        <v>5408.7868396833401</v>
      </c>
      <c r="F125" s="201">
        <f t="shared" ca="1" si="68"/>
        <v>6085.2855254636161</v>
      </c>
      <c r="G125" s="201">
        <f t="shared" ca="1" si="68"/>
        <v>6835.4966893934143</v>
      </c>
      <c r="H125" s="201">
        <f t="shared" ca="1" si="68"/>
        <v>7667.0967778120321</v>
      </c>
      <c r="I125" s="201">
        <f t="shared" ca="1" si="68"/>
        <v>8588.5511559287315</v>
      </c>
      <c r="J125" s="201">
        <f t="shared" ca="1" si="68"/>
        <v>9609.1915589249693</v>
      </c>
      <c r="K125" s="191">
        <f t="shared" ca="1" si="68"/>
        <v>10739.303953619934</v>
      </c>
      <c r="L125" s="149"/>
      <c r="M125" s="149"/>
    </row>
    <row r="126" spans="1:13" x14ac:dyDescent="0.2">
      <c r="A126" s="18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49"/>
      <c r="M126" s="149"/>
    </row>
    <row r="127" spans="1:13" x14ac:dyDescent="0.2">
      <c r="A127" s="197" t="s">
        <v>111</v>
      </c>
      <c r="B127" s="198">
        <f>+B109</f>
        <v>3254.9078976502324</v>
      </c>
      <c r="C127" s="198">
        <f t="shared" ref="C127:K127" si="69">+C109</f>
        <v>3254.9078976502324</v>
      </c>
      <c r="D127" s="198">
        <f t="shared" si="69"/>
        <v>3254.9078976502324</v>
      </c>
      <c r="E127" s="198">
        <f t="shared" si="69"/>
        <v>3254.9078976502324</v>
      </c>
      <c r="F127" s="198">
        <f t="shared" si="69"/>
        <v>3254.9078976502324</v>
      </c>
      <c r="G127" s="198">
        <f t="shared" si="69"/>
        <v>3254.9078976502324</v>
      </c>
      <c r="H127" s="198">
        <f t="shared" si="69"/>
        <v>3254.9078976502324</v>
      </c>
      <c r="I127" s="198">
        <f t="shared" si="69"/>
        <v>3254.9078976502324</v>
      </c>
      <c r="J127" s="198">
        <f t="shared" si="69"/>
        <v>3254.9078976502324</v>
      </c>
      <c r="K127" s="168">
        <f t="shared" si="69"/>
        <v>3254.9078976502324</v>
      </c>
      <c r="L127" s="149"/>
      <c r="M127" s="149"/>
    </row>
    <row r="128" spans="1:13" x14ac:dyDescent="0.2">
      <c r="A128" s="199" t="s">
        <v>112</v>
      </c>
      <c r="B128" s="200">
        <f>+B114</f>
        <v>0</v>
      </c>
      <c r="C128" s="200">
        <f t="shared" ref="C128:K128" ca="1" si="70">+C114</f>
        <v>956.25</v>
      </c>
      <c r="D128" s="200">
        <f t="shared" ca="1" si="70"/>
        <v>1320.277533918312</v>
      </c>
      <c r="E128" s="200">
        <f t="shared" ca="1" si="70"/>
        <v>1720.5063361151931</v>
      </c>
      <c r="F128" s="200">
        <f t="shared" ca="1" si="70"/>
        <v>2164.2330055888096</v>
      </c>
      <c r="G128" s="200">
        <f t="shared" ca="1" si="70"/>
        <v>2655.7285845632146</v>
      </c>
      <c r="H128" s="200">
        <f t="shared" ca="1" si="70"/>
        <v>3199.9382933440493</v>
      </c>
      <c r="I128" s="200">
        <f t="shared" ca="1" si="70"/>
        <v>3802.3140773851751</v>
      </c>
      <c r="J128" s="200">
        <f t="shared" ca="1" si="70"/>
        <v>4468.8639644399909</v>
      </c>
      <c r="K128" s="156">
        <f t="shared" ca="1" si="70"/>
        <v>5206.2083720169285</v>
      </c>
      <c r="L128" s="149"/>
      <c r="M128" s="149"/>
    </row>
    <row r="129" spans="1:13" x14ac:dyDescent="0.2">
      <c r="A129" s="184" t="s">
        <v>113</v>
      </c>
      <c r="B129" s="201">
        <f>SUM(B127:B128)</f>
        <v>3254.9078976502324</v>
      </c>
      <c r="C129" s="201">
        <f t="shared" ref="C129:K129" ca="1" si="71">SUM(C127:C128)</f>
        <v>4211.1578976502324</v>
      </c>
      <c r="D129" s="201">
        <f t="shared" ca="1" si="71"/>
        <v>4575.1854315685441</v>
      </c>
      <c r="E129" s="201">
        <f t="shared" ca="1" si="71"/>
        <v>4975.4142337654257</v>
      </c>
      <c r="F129" s="201">
        <f t="shared" ca="1" si="71"/>
        <v>5419.140903239042</v>
      </c>
      <c r="G129" s="201">
        <f t="shared" ca="1" si="71"/>
        <v>5910.6364822134474</v>
      </c>
      <c r="H129" s="201">
        <f t="shared" ca="1" si="71"/>
        <v>6454.8461909942816</v>
      </c>
      <c r="I129" s="201">
        <f t="shared" ca="1" si="71"/>
        <v>7057.221975035407</v>
      </c>
      <c r="J129" s="201">
        <f t="shared" ca="1" si="71"/>
        <v>7723.7718620902233</v>
      </c>
      <c r="K129" s="191">
        <f t="shared" ca="1" si="71"/>
        <v>8461.1162696671599</v>
      </c>
      <c r="L129" s="149"/>
      <c r="M129" s="149"/>
    </row>
    <row r="130" spans="1:13" x14ac:dyDescent="0.2">
      <c r="A130" s="18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49"/>
      <c r="M130" s="149"/>
    </row>
    <row r="131" spans="1:13" x14ac:dyDescent="0.2">
      <c r="A131" s="197" t="s">
        <v>114</v>
      </c>
      <c r="B131" s="198">
        <f ca="1">+B125-B129</f>
        <v>776.89765790532419</v>
      </c>
      <c r="C131" s="198">
        <f t="shared" ref="C131:K131" ca="1" si="72">+C125-C129</f>
        <v>-36.257384559860839</v>
      </c>
      <c r="D131" s="198">
        <f t="shared" ca="1" si="72"/>
        <v>223.48356229387809</v>
      </c>
      <c r="E131" s="198">
        <f t="shared" ca="1" si="72"/>
        <v>433.37260591791437</v>
      </c>
      <c r="F131" s="198">
        <f t="shared" ca="1" si="72"/>
        <v>666.14462222457405</v>
      </c>
      <c r="G131" s="198">
        <f t="shared" ca="1" si="72"/>
        <v>924.86020717996689</v>
      </c>
      <c r="H131" s="198">
        <f t="shared" ca="1" si="72"/>
        <v>1212.2505868177504</v>
      </c>
      <c r="I131" s="198">
        <f t="shared" ca="1" si="72"/>
        <v>1531.3291808933245</v>
      </c>
      <c r="J131" s="198">
        <f t="shared" ca="1" si="72"/>
        <v>1885.419696834746</v>
      </c>
      <c r="K131" s="168">
        <f t="shared" ca="1" si="72"/>
        <v>2278.187683952774</v>
      </c>
      <c r="L131" s="149"/>
      <c r="M131" s="149"/>
    </row>
    <row r="132" spans="1:13" x14ac:dyDescent="0.2">
      <c r="A132" s="202" t="s">
        <v>115</v>
      </c>
      <c r="B132" s="195">
        <f ca="1">+B131</f>
        <v>776.89765790532419</v>
      </c>
      <c r="C132" s="195">
        <f ca="1">+B132+C131</f>
        <v>740.64027334546336</v>
      </c>
      <c r="D132" s="195">
        <f t="shared" ref="D132:K132" ca="1" si="73">+C132+D131</f>
        <v>964.12383563934145</v>
      </c>
      <c r="E132" s="195">
        <f t="shared" ca="1" si="73"/>
        <v>1397.4964415572558</v>
      </c>
      <c r="F132" s="195">
        <f t="shared" ca="1" si="73"/>
        <v>2063.6410637818299</v>
      </c>
      <c r="G132" s="195">
        <f t="shared" ca="1" si="73"/>
        <v>2988.5012709617968</v>
      </c>
      <c r="H132" s="195">
        <f t="shared" ca="1" si="73"/>
        <v>4200.7518577795472</v>
      </c>
      <c r="I132" s="195">
        <f t="shared" ca="1" si="73"/>
        <v>5732.0810386728717</v>
      </c>
      <c r="J132" s="195">
        <f t="shared" ca="1" si="73"/>
        <v>7617.5007355076177</v>
      </c>
      <c r="K132" s="195">
        <f t="shared" ca="1" si="73"/>
        <v>9895.6884194603917</v>
      </c>
      <c r="L132" s="149"/>
      <c r="M132" s="149"/>
    </row>
    <row r="133" spans="1:13" x14ac:dyDescent="0.2">
      <c r="A133" s="187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49"/>
      <c r="M133" s="149"/>
    </row>
    <row r="134" spans="1:13" x14ac:dyDescent="0.2">
      <c r="A134" s="148" t="s">
        <v>65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49"/>
      <c r="M134" s="149"/>
    </row>
    <row r="135" spans="1:13" x14ac:dyDescent="0.2">
      <c r="A135" s="187" t="s">
        <v>58</v>
      </c>
      <c r="B135" s="150">
        <f ca="1">+B71</f>
        <v>561.94444444444389</v>
      </c>
      <c r="C135" s="150">
        <f t="shared" ref="C135:K135" ca="1" si="74">+C71</f>
        <v>462.01569811956506</v>
      </c>
      <c r="D135" s="150">
        <f t="shared" ca="1" si="74"/>
        <v>267.32660594258778</v>
      </c>
      <c r="E135" s="150">
        <f t="shared" ca="1" si="74"/>
        <v>50.22026145171003</v>
      </c>
      <c r="F135" s="150">
        <f t="shared" ca="1" si="74"/>
        <v>-191.25371170602466</v>
      </c>
      <c r="G135" s="150">
        <f t="shared" ca="1" si="74"/>
        <v>-459.65373278713378</v>
      </c>
      <c r="H135" s="150">
        <f t="shared" ca="1" si="74"/>
        <v>-757.79837404277805</v>
      </c>
      <c r="I135" s="150">
        <f t="shared" ca="1" si="74"/>
        <v>-1088.7955039973531</v>
      </c>
      <c r="J135" s="150">
        <f t="shared" ca="1" si="74"/>
        <v>-1456.0717388941957</v>
      </c>
      <c r="K135" s="150">
        <f t="shared" ca="1" si="74"/>
        <v>-1863.4048235262435</v>
      </c>
      <c r="L135" s="149"/>
      <c r="M135" s="149"/>
    </row>
    <row r="136" spans="1:13" x14ac:dyDescent="0.2">
      <c r="A136" s="187" t="s">
        <v>66</v>
      </c>
      <c r="B136" s="203">
        <f ca="1">+B77+B76-B72</f>
        <v>1338.8421023497649</v>
      </c>
      <c r="C136" s="203">
        <f t="shared" ref="C136:K136" ca="1" si="75">+C77+C76-C72</f>
        <v>1202.6559714650357</v>
      </c>
      <c r="D136" s="203">
        <f t="shared" ca="1" si="75"/>
        <v>1231.450441581932</v>
      </c>
      <c r="E136" s="203">
        <f t="shared" ca="1" si="75"/>
        <v>1447.7167030089622</v>
      </c>
      <c r="F136" s="203">
        <f t="shared" ca="1" si="75"/>
        <v>1872.3873520758061</v>
      </c>
      <c r="G136" s="203">
        <f t="shared" ca="1" si="75"/>
        <v>2528.8475381746539</v>
      </c>
      <c r="H136" s="203">
        <f t="shared" ca="1" si="75"/>
        <v>3442.9534837367682</v>
      </c>
      <c r="I136" s="203">
        <f t="shared" ca="1" si="75"/>
        <v>4643.2855346755096</v>
      </c>
      <c r="J136" s="203">
        <f t="shared" ca="1" si="75"/>
        <v>6161.4289966134093</v>
      </c>
      <c r="K136" s="203">
        <f t="shared" ca="1" si="75"/>
        <v>8032.2835959341392</v>
      </c>
      <c r="L136" s="149"/>
      <c r="M136" s="149"/>
    </row>
    <row r="137" spans="1:13" x14ac:dyDescent="0.2">
      <c r="A137" s="187" t="s">
        <v>67</v>
      </c>
      <c r="B137" s="167">
        <f ca="1">+B136-B135</f>
        <v>776.89765790532101</v>
      </c>
      <c r="C137" s="167">
        <f t="shared" ref="C137:K137" ca="1" si="76">+C136-C135</f>
        <v>740.64027334547063</v>
      </c>
      <c r="D137" s="167">
        <f t="shared" ca="1" si="76"/>
        <v>964.12383563934418</v>
      </c>
      <c r="E137" s="167">
        <f t="shared" ca="1" si="76"/>
        <v>1397.4964415572522</v>
      </c>
      <c r="F137" s="167">
        <f t="shared" ca="1" si="76"/>
        <v>2063.6410637818308</v>
      </c>
      <c r="G137" s="167">
        <f t="shared" ca="1" si="76"/>
        <v>2988.5012709617877</v>
      </c>
      <c r="H137" s="167">
        <f t="shared" ca="1" si="76"/>
        <v>4200.7518577795463</v>
      </c>
      <c r="I137" s="167">
        <f t="shared" ca="1" si="76"/>
        <v>5732.0810386728626</v>
      </c>
      <c r="J137" s="167">
        <f t="shared" ca="1" si="76"/>
        <v>7617.500735507605</v>
      </c>
      <c r="K137" s="167">
        <f t="shared" ca="1" si="76"/>
        <v>9895.6884194603826</v>
      </c>
      <c r="L137" s="149"/>
      <c r="M137" s="149"/>
    </row>
    <row r="138" spans="1:13" x14ac:dyDescent="0.2">
      <c r="A138" s="187" t="s">
        <v>68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49"/>
      <c r="M138" s="149"/>
    </row>
    <row r="139" spans="1:13" x14ac:dyDescent="0.2">
      <c r="A139" s="18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49"/>
      <c r="M139" s="149"/>
    </row>
    <row r="140" spans="1:13" x14ac:dyDescent="0.2">
      <c r="A140" s="187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49"/>
      <c r="M140" s="149"/>
    </row>
    <row r="141" spans="1:13" x14ac:dyDescent="0.2">
      <c r="A141" s="148" t="s">
        <v>69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1:13" x14ac:dyDescent="0.2">
      <c r="A142" s="149" t="s">
        <v>70</v>
      </c>
      <c r="B142" s="93">
        <f ca="1">+B26/B10</f>
        <v>6.3750000000000001E-2</v>
      </c>
      <c r="C142" s="93">
        <f t="shared" ref="C142:K142" ca="1" si="77">+C26/C10</f>
        <v>8.0016820237473446E-2</v>
      </c>
      <c r="D142" s="93">
        <f t="shared" ca="1" si="77"/>
        <v>9.4793737527007871E-2</v>
      </c>
      <c r="E142" s="93">
        <f t="shared" ca="1" si="77"/>
        <v>0.10840135264657196</v>
      </c>
      <c r="F142" s="93">
        <f t="shared" ca="1" si="77"/>
        <v>0.12092655713695394</v>
      </c>
      <c r="G142" s="93">
        <f t="shared" ca="1" si="77"/>
        <v>0.13246066125405606</v>
      </c>
      <c r="H142" s="93">
        <f t="shared" ca="1" si="77"/>
        <v>0.14308714470402742</v>
      </c>
      <c r="I142" s="93">
        <f t="shared" ca="1" si="77"/>
        <v>0.15288225484140266</v>
      </c>
      <c r="J142" s="93">
        <f t="shared" ca="1" si="77"/>
        <v>0.16191564189703977</v>
      </c>
      <c r="K142" s="93">
        <f t="shared" ca="1" si="77"/>
        <v>0.17025093795466525</v>
      </c>
      <c r="L142" s="149"/>
      <c r="M142" s="149"/>
    </row>
    <row r="143" spans="1:13" x14ac:dyDescent="0.2">
      <c r="A143" s="149" t="s">
        <v>71</v>
      </c>
      <c r="B143" s="93"/>
      <c r="C143" s="93">
        <f ca="1">+C26/B73</f>
        <v>4.2861554067457348E-2</v>
      </c>
      <c r="D143" s="93">
        <f t="shared" ref="D143:K143" ca="1" si="78">+D26/C73</f>
        <v>5.6003160496010923E-2</v>
      </c>
      <c r="E143" s="93">
        <f t="shared" ca="1" si="78"/>
        <v>7.040704446632301E-2</v>
      </c>
      <c r="F143" s="93">
        <f t="shared" ca="1" si="78"/>
        <v>8.6033250671870676E-2</v>
      </c>
      <c r="G143" s="93">
        <f t="shared" ca="1" si="78"/>
        <v>0.1028144406138139</v>
      </c>
      <c r="H143" s="93">
        <f t="shared" ca="1" si="78"/>
        <v>0.12064209336345752</v>
      </c>
      <c r="I143" s="93">
        <f t="shared" ca="1" si="78"/>
        <v>0.13936555002834039</v>
      </c>
      <c r="J143" s="93">
        <f t="shared" ca="1" si="78"/>
        <v>0.15879378167799393</v>
      </c>
      <c r="K143" s="93">
        <f t="shared" ca="1" si="78"/>
        <v>0.17870040578249663</v>
      </c>
      <c r="L143" s="149"/>
      <c r="M143" s="149"/>
    </row>
    <row r="144" spans="1:13" x14ac:dyDescent="0.2">
      <c r="A144" s="149" t="s">
        <v>72</v>
      </c>
      <c r="B144" s="93"/>
      <c r="C144" s="93">
        <f ca="1">+(C22*(1-36.25%))/B73</f>
        <v>6.6138269563736585E-2</v>
      </c>
      <c r="D144" s="93">
        <f t="shared" ref="D144:K144" ca="1" si="79">+(D22*(1-36.25%))/C73</f>
        <v>7.7623117199409272E-2</v>
      </c>
      <c r="E144" s="93">
        <f t="shared" ca="1" si="79"/>
        <v>9.0125376438965232E-2</v>
      </c>
      <c r="F144" s="93">
        <f t="shared" ca="1" si="79"/>
        <v>0.10359901065911091</v>
      </c>
      <c r="G144" s="93">
        <f t="shared" ca="1" si="79"/>
        <v>0.11797837906978251</v>
      </c>
      <c r="H144" s="93">
        <f t="shared" ca="1" si="79"/>
        <v>0.13316375166473537</v>
      </c>
      <c r="I144" s="93">
        <f t="shared" ca="1" si="79"/>
        <v>0.14902113033787673</v>
      </c>
      <c r="J144" s="93">
        <f t="shared" ca="1" si="79"/>
        <v>0.16538424600085039</v>
      </c>
      <c r="K144" s="93">
        <f t="shared" ca="1" si="79"/>
        <v>0.18205923605221971</v>
      </c>
      <c r="L144" s="149"/>
      <c r="M144" s="149"/>
    </row>
    <row r="145" spans="1:13" x14ac:dyDescent="0.2">
      <c r="A145" s="149" t="s">
        <v>73</v>
      </c>
      <c r="B145" s="93"/>
      <c r="C145" s="93">
        <f ca="1">+C26/B77</f>
        <v>6.7511794639479039E-2</v>
      </c>
      <c r="D145" s="93">
        <f t="shared" ref="D145:K145" ca="1" si="80">+D26/C77</f>
        <v>8.4742411881373061E-2</v>
      </c>
      <c r="E145" s="93">
        <f t="shared" ca="1" si="80"/>
        <v>0.1019368396840957</v>
      </c>
      <c r="F145" s="93">
        <f t="shared" ca="1" si="80"/>
        <v>0.11875522318471556</v>
      </c>
      <c r="G145" s="93">
        <f t="shared" ca="1" si="80"/>
        <v>0.13490331137852482</v>
      </c>
      <c r="H145" s="93">
        <f t="shared" ca="1" si="80"/>
        <v>0.15013043945773993</v>
      </c>
      <c r="I145" s="93">
        <f t="shared" ca="1" si="80"/>
        <v>0.16424159580868872</v>
      </c>
      <c r="J145" s="93">
        <f t="shared" ca="1" si="80"/>
        <v>0.17710262097213036</v>
      </c>
      <c r="K145" s="93">
        <f t="shared" ca="1" si="80"/>
        <v>0.18863934776416072</v>
      </c>
      <c r="L145" s="212"/>
      <c r="M145" s="149"/>
    </row>
    <row r="146" spans="1:13" x14ac:dyDescent="0.2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1:13" x14ac:dyDescent="0.2">
      <c r="A147" s="148" t="s">
        <v>74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1:13" x14ac:dyDescent="0.2">
      <c r="A148" s="149" t="s">
        <v>75</v>
      </c>
      <c r="B148" s="90"/>
      <c r="C148" s="90">
        <f ca="1">+C10/B73</f>
        <v>0.53565680241045666</v>
      </c>
      <c r="D148" s="90">
        <f t="shared" ref="D148:K148" ca="1" si="81">+D10/C73</f>
        <v>0.59078966561535728</v>
      </c>
      <c r="E148" s="90">
        <f t="shared" ca="1" si="81"/>
        <v>0.64950337562553961</v>
      </c>
      <c r="F148" s="90">
        <f t="shared" ca="1" si="81"/>
        <v>0.71145042667868852</v>
      </c>
      <c r="G148" s="90">
        <f t="shared" ca="1" si="81"/>
        <v>0.77618848977824817</v>
      </c>
      <c r="H148" s="90">
        <f t="shared" ca="1" si="81"/>
        <v>0.84313719176522117</v>
      </c>
      <c r="I148" s="90">
        <f t="shared" ca="1" si="81"/>
        <v>0.91158748392948363</v>
      </c>
      <c r="J148" s="90">
        <f t="shared" ca="1" si="81"/>
        <v>0.98071921784412297</v>
      </c>
      <c r="K148" s="90">
        <f t="shared" ca="1" si="81"/>
        <v>1.0496294935542811</v>
      </c>
      <c r="L148" s="149"/>
      <c r="M148" s="149"/>
    </row>
    <row r="149" spans="1:13" x14ac:dyDescent="0.2">
      <c r="A149" s="149" t="s">
        <v>76</v>
      </c>
      <c r="B149" s="140">
        <f ca="1">+B136/B135</f>
        <v>2.3825168405631034</v>
      </c>
      <c r="C149" s="140">
        <f t="shared" ref="C149:K149" ca="1" si="82">+C136/C135</f>
        <v>2.6030630049150414</v>
      </c>
      <c r="D149" s="140">
        <f t="shared" ca="1" si="82"/>
        <v>4.6065390208350738</v>
      </c>
      <c r="E149" s="140">
        <f t="shared" ca="1" si="82"/>
        <v>28.827343011764956</v>
      </c>
      <c r="F149" s="140">
        <f t="shared" ca="1" si="82"/>
        <v>-9.7900706625440321</v>
      </c>
      <c r="G149" s="140">
        <f t="shared" ca="1" si="82"/>
        <v>-5.5016360311943044</v>
      </c>
      <c r="H149" s="140">
        <f t="shared" ca="1" si="82"/>
        <v>-4.543363514187762</v>
      </c>
      <c r="I149" s="140">
        <f t="shared" ca="1" si="82"/>
        <v>-4.2646075572762445</v>
      </c>
      <c r="J149" s="140">
        <f t="shared" ca="1" si="82"/>
        <v>-4.2315421912471614</v>
      </c>
      <c r="K149" s="140">
        <f t="shared" ca="1" si="82"/>
        <v>-4.3105413780855848</v>
      </c>
      <c r="L149" s="149"/>
      <c r="M149" s="149"/>
    </row>
    <row r="150" spans="1:13" x14ac:dyDescent="0.2">
      <c r="A150" s="149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49"/>
      <c r="M150" s="149"/>
    </row>
    <row r="151" spans="1:13" x14ac:dyDescent="0.2">
      <c r="A151" s="148" t="s">
        <v>77</v>
      </c>
      <c r="B151" s="164"/>
      <c r="C151" s="165"/>
      <c r="D151" s="165"/>
      <c r="E151" s="165"/>
      <c r="F151" s="165"/>
      <c r="G151" s="165"/>
      <c r="H151" s="165"/>
      <c r="I151" s="165"/>
      <c r="J151" s="165"/>
      <c r="K151" s="165"/>
      <c r="L151" s="149"/>
      <c r="M151" s="149"/>
    </row>
    <row r="152" spans="1:13" x14ac:dyDescent="0.2">
      <c r="A152" s="149" t="s">
        <v>152</v>
      </c>
      <c r="B152" s="94">
        <f ca="1">+B76/B73</f>
        <v>0.36512494896124292</v>
      </c>
      <c r="C152" s="94">
        <f t="shared" ref="C152:K152" ca="1" si="83">+C76/C73</f>
        <v>0.33913657573958206</v>
      </c>
      <c r="D152" s="94">
        <f t="shared" ca="1" si="83"/>
        <v>0.30930716819830933</v>
      </c>
      <c r="E152" s="94">
        <f t="shared" ca="1" si="83"/>
        <v>0.27554133313318024</v>
      </c>
      <c r="F152" s="94">
        <f t="shared" ca="1" si="83"/>
        <v>0.23786570127009596</v>
      </c>
      <c r="G152" s="94">
        <f t="shared" ca="1" si="83"/>
        <v>0.19641816943180979</v>
      </c>
      <c r="H152" s="94">
        <f t="shared" ca="1" si="83"/>
        <v>0.15146008328684493</v>
      </c>
      <c r="I152" s="94">
        <f t="shared" ca="1" si="83"/>
        <v>0.10337983251539561</v>
      </c>
      <c r="J152" s="94">
        <f t="shared" ca="1" si="83"/>
        <v>5.2687533642715202E-2</v>
      </c>
      <c r="K152" s="94">
        <f t="shared" ca="1" si="83"/>
        <v>0</v>
      </c>
      <c r="L152" s="149"/>
      <c r="M152" s="149"/>
    </row>
    <row r="153" spans="1:13" x14ac:dyDescent="0.2">
      <c r="A153" s="149" t="s">
        <v>153</v>
      </c>
      <c r="B153" s="90">
        <f ca="1">+B73/B77</f>
        <v>1.575113084635851</v>
      </c>
      <c r="C153" s="90">
        <f t="shared" ref="C153:K153" ca="1" si="84">+C73/C77</f>
        <v>1.5131719554900696</v>
      </c>
      <c r="D153" s="90">
        <f t="shared" ca="1" si="84"/>
        <v>1.4478215987727474</v>
      </c>
      <c r="E153" s="90">
        <f t="shared" ca="1" si="84"/>
        <v>1.380340999059142</v>
      </c>
      <c r="F153" s="90">
        <f t="shared" ca="1" si="84"/>
        <v>1.3121047060426212</v>
      </c>
      <c r="G153" s="90">
        <f t="shared" ca="1" si="84"/>
        <v>1.2444283356841555</v>
      </c>
      <c r="H153" s="90">
        <f t="shared" ca="1" si="84"/>
        <v>1.1784949420806627</v>
      </c>
      <c r="I153" s="90">
        <f t="shared" ca="1" si="84"/>
        <v>1.1152994726913397</v>
      </c>
      <c r="J153" s="90">
        <f t="shared" ca="1" si="84"/>
        <v>1.055617903821445</v>
      </c>
      <c r="K153" s="90">
        <f t="shared" ca="1" si="84"/>
        <v>1</v>
      </c>
      <c r="L153" s="149"/>
      <c r="M153" s="149"/>
    </row>
    <row r="154" spans="1:13" x14ac:dyDescent="0.2">
      <c r="A154" s="187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49"/>
      <c r="M154" s="149"/>
    </row>
    <row r="155" spans="1:13" x14ac:dyDescent="0.2">
      <c r="A155" s="187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49"/>
      <c r="M155" s="149"/>
    </row>
    <row r="156" spans="1:13" x14ac:dyDescent="0.2">
      <c r="A156" s="249" t="s">
        <v>160</v>
      </c>
      <c r="B156" s="227" t="s">
        <v>4</v>
      </c>
      <c r="C156" s="228"/>
      <c r="D156" s="228"/>
      <c r="E156" s="228"/>
      <c r="F156" s="228"/>
      <c r="G156" s="228"/>
      <c r="H156" s="228"/>
      <c r="I156" s="228"/>
      <c r="J156" s="228"/>
      <c r="K156" s="229"/>
      <c r="L156" s="149"/>
      <c r="M156" s="149"/>
    </row>
    <row r="157" spans="1:13" x14ac:dyDescent="0.2">
      <c r="A157" s="250"/>
      <c r="B157" s="91">
        <v>2010</v>
      </c>
      <c r="C157" s="91">
        <v>2011</v>
      </c>
      <c r="D157" s="91">
        <v>2012</v>
      </c>
      <c r="E157" s="91">
        <v>2013</v>
      </c>
      <c r="F157" s="91">
        <v>2014</v>
      </c>
      <c r="G157" s="91">
        <v>2015</v>
      </c>
      <c r="H157" s="91">
        <v>2016</v>
      </c>
      <c r="I157" s="91">
        <v>2017</v>
      </c>
      <c r="J157" s="91">
        <v>2018</v>
      </c>
      <c r="K157" s="91">
        <v>2019</v>
      </c>
      <c r="L157" s="149"/>
      <c r="M157" s="149"/>
    </row>
    <row r="158" spans="1:13" x14ac:dyDescent="0.2">
      <c r="A158" s="204" t="s">
        <v>161</v>
      </c>
      <c r="B158" s="137">
        <f>+B129</f>
        <v>3254.9078976502324</v>
      </c>
      <c r="C158" s="137">
        <f t="shared" ref="C158:K158" ca="1" si="85">+C129</f>
        <v>4211.1578976502324</v>
      </c>
      <c r="D158" s="137">
        <f t="shared" ca="1" si="85"/>
        <v>4575.1854315685441</v>
      </c>
      <c r="E158" s="137">
        <f t="shared" ca="1" si="85"/>
        <v>4975.4142337654257</v>
      </c>
      <c r="F158" s="137">
        <f t="shared" ca="1" si="85"/>
        <v>5419.140903239042</v>
      </c>
      <c r="G158" s="137">
        <f t="shared" ca="1" si="85"/>
        <v>5910.6364822134474</v>
      </c>
      <c r="H158" s="137">
        <f t="shared" ca="1" si="85"/>
        <v>6454.8461909942816</v>
      </c>
      <c r="I158" s="137">
        <f t="shared" ca="1" si="85"/>
        <v>7057.221975035407</v>
      </c>
      <c r="J158" s="137">
        <f t="shared" ca="1" si="85"/>
        <v>7723.7718620902233</v>
      </c>
      <c r="K158" s="137">
        <f t="shared" ca="1" si="85"/>
        <v>8461.1162696671599</v>
      </c>
      <c r="L158" s="149"/>
      <c r="M158" s="149"/>
    </row>
    <row r="159" spans="1:13" x14ac:dyDescent="0.2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1:13" x14ac:dyDescent="0.2">
      <c r="A160" s="151" t="s">
        <v>117</v>
      </c>
      <c r="B160" s="165" t="s">
        <v>175</v>
      </c>
      <c r="C160" s="165"/>
      <c r="D160" s="165"/>
      <c r="E160" s="165"/>
      <c r="F160" s="165"/>
      <c r="G160" s="165"/>
      <c r="H160" s="165"/>
      <c r="I160" s="165"/>
      <c r="J160" s="165"/>
      <c r="K160" s="205">
        <v>0.125</v>
      </c>
      <c r="L160" s="149"/>
      <c r="M160" s="149"/>
    </row>
    <row r="161" spans="1:13" x14ac:dyDescent="0.2">
      <c r="A161" s="153" t="s">
        <v>118</v>
      </c>
      <c r="B161" s="165" t="s">
        <v>174</v>
      </c>
      <c r="C161" s="165"/>
      <c r="D161" s="165"/>
      <c r="E161" s="165"/>
      <c r="F161" s="165"/>
      <c r="G161" s="165"/>
      <c r="H161" s="165"/>
      <c r="I161" s="165"/>
      <c r="J161" s="165"/>
      <c r="K161" s="206">
        <v>0.76</v>
      </c>
      <c r="L161" s="149"/>
      <c r="M161" s="149"/>
    </row>
    <row r="162" spans="1:13" x14ac:dyDescent="0.2">
      <c r="A162" s="153" t="s">
        <v>119</v>
      </c>
      <c r="B162" s="165" t="s">
        <v>176</v>
      </c>
      <c r="C162" s="165"/>
      <c r="D162" s="165"/>
      <c r="E162" s="165"/>
      <c r="F162" s="165"/>
      <c r="G162" s="165"/>
      <c r="H162" s="165"/>
      <c r="I162" s="165"/>
      <c r="J162" s="165"/>
      <c r="K162" s="207">
        <v>9.7900000000000001E-2</v>
      </c>
      <c r="L162" s="149"/>
      <c r="M162" s="149"/>
    </row>
    <row r="163" spans="1:13" x14ac:dyDescent="0.2">
      <c r="A163" s="208" t="s">
        <v>121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209">
        <f>+K160+(K161*K162)</f>
        <v>0.199404</v>
      </c>
      <c r="L163" s="149"/>
      <c r="M163" s="149"/>
    </row>
    <row r="164" spans="1:13" x14ac:dyDescent="0.2">
      <c r="A164" s="178"/>
      <c r="B164" s="165"/>
      <c r="C164" s="165"/>
      <c r="D164" s="165"/>
      <c r="E164" s="165"/>
      <c r="F164" s="165"/>
      <c r="G164" s="165"/>
      <c r="H164" s="165"/>
      <c r="I164" s="165"/>
      <c r="J164" s="165"/>
      <c r="K164" s="210"/>
      <c r="L164" s="149"/>
      <c r="M164" s="149"/>
    </row>
    <row r="165" spans="1:13" x14ac:dyDescent="0.2">
      <c r="A165" s="151" t="s">
        <v>122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8">
        <f ca="1">+K22*(1-36.25%)</f>
        <v>10224.706858724418</v>
      </c>
      <c r="L165" s="149"/>
      <c r="M165" s="149"/>
    </row>
    <row r="166" spans="1:13" x14ac:dyDescent="0.2">
      <c r="A166" s="153" t="s">
        <v>123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0">
        <f ca="1">+K165*K163</f>
        <v>2038.8474464570838</v>
      </c>
      <c r="L166" s="149"/>
      <c r="M166" s="149"/>
    </row>
    <row r="167" spans="1:13" x14ac:dyDescent="0.2">
      <c r="A167" s="208" t="s">
        <v>124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91">
        <f ca="1">SUM(K165:K166)</f>
        <v>12263.554305181502</v>
      </c>
      <c r="L167" s="149"/>
      <c r="M167" s="149"/>
    </row>
    <row r="168" spans="1:13" x14ac:dyDescent="0.2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1:13" x14ac:dyDescent="0.2">
      <c r="A169" s="208" t="s">
        <v>162</v>
      </c>
      <c r="B169" s="211">
        <f>+B158</f>
        <v>3254.9078976502324</v>
      </c>
      <c r="C169" s="211">
        <f t="shared" ref="C169:J169" ca="1" si="86">+C158</f>
        <v>4211.1578976502324</v>
      </c>
      <c r="D169" s="211">
        <f t="shared" ca="1" si="86"/>
        <v>4575.1854315685441</v>
      </c>
      <c r="E169" s="211">
        <f t="shared" ca="1" si="86"/>
        <v>4975.4142337654257</v>
      </c>
      <c r="F169" s="211">
        <f t="shared" ca="1" si="86"/>
        <v>5419.140903239042</v>
      </c>
      <c r="G169" s="211">
        <f t="shared" ca="1" si="86"/>
        <v>5910.6364822134474</v>
      </c>
      <c r="H169" s="211">
        <f t="shared" ca="1" si="86"/>
        <v>6454.8461909942816</v>
      </c>
      <c r="I169" s="211">
        <f t="shared" ca="1" si="86"/>
        <v>7057.221975035407</v>
      </c>
      <c r="J169" s="211">
        <f t="shared" ca="1" si="86"/>
        <v>7723.7718620902233</v>
      </c>
      <c r="K169" s="211">
        <f ca="1">+K158+K167</f>
        <v>20724.670574848664</v>
      </c>
      <c r="L169" s="149"/>
      <c r="M169" s="149"/>
    </row>
    <row r="170" spans="1:13" x14ac:dyDescent="0.2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1:13" x14ac:dyDescent="0.2">
      <c r="A171" s="208" t="s">
        <v>163</v>
      </c>
      <c r="B171" s="145">
        <f ca="1">+NPV(K163,B169:K169)-51000</f>
        <v>-27811.511418895938</v>
      </c>
      <c r="C171" s="213" t="s">
        <v>184</v>
      </c>
      <c r="D171" s="213"/>
      <c r="E171" s="213"/>
      <c r="F171" s="213"/>
      <c r="G171" s="213"/>
      <c r="H171" s="213"/>
      <c r="I171" s="213"/>
      <c r="J171" s="213"/>
      <c r="K171" s="213"/>
      <c r="L171" s="149"/>
      <c r="M171" s="149"/>
    </row>
    <row r="172" spans="1:13" x14ac:dyDescent="0.2">
      <c r="A172" s="204" t="s">
        <v>164</v>
      </c>
      <c r="B172" s="145">
        <f>+B76</f>
        <v>18745.092102349769</v>
      </c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1:13" x14ac:dyDescent="0.2">
      <c r="A173" s="208" t="s">
        <v>165</v>
      </c>
      <c r="B173" s="145">
        <f ca="1">+B171-B172</f>
        <v>-46556.603521245706</v>
      </c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1:13" x14ac:dyDescent="0.2">
      <c r="A174" s="149"/>
      <c r="B174" s="2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1:13" x14ac:dyDescent="0.2">
      <c r="A175" s="204" t="s">
        <v>166</v>
      </c>
      <c r="B175" s="137">
        <f>+B61</f>
        <v>31000</v>
      </c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1:13" x14ac:dyDescent="0.2">
      <c r="A176" s="208" t="s">
        <v>167</v>
      </c>
      <c r="B176" s="146">
        <f ca="1">+B173/B175</f>
        <v>-1.501825920040184</v>
      </c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1:13" x14ac:dyDescent="0.2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1:13" x14ac:dyDescent="0.2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1:13" x14ac:dyDescent="0.2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1:13" x14ac:dyDescent="0.2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1:13" x14ac:dyDescent="0.2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1:13" x14ac:dyDescent="0.2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x14ac:dyDescent="0.2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1:13" x14ac:dyDescent="0.2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1:13" x14ac:dyDescent="0.2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1:13" x14ac:dyDescent="0.2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1:13" x14ac:dyDescent="0.2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1:13" x14ac:dyDescent="0.2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1:13" x14ac:dyDescent="0.2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1:13" x14ac:dyDescent="0.2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1:13" x14ac:dyDescent="0.2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1:13" x14ac:dyDescent="0.2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1:13" x14ac:dyDescent="0.2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1:13" x14ac:dyDescent="0.2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1:13" x14ac:dyDescent="0.2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1:13" x14ac:dyDescent="0.2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1:13" x14ac:dyDescent="0.2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x14ac:dyDescent="0.2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1:13" x14ac:dyDescent="0.2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1:13" x14ac:dyDescent="0.2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1:13" x14ac:dyDescent="0.2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1:13" x14ac:dyDescent="0.2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1:13" x14ac:dyDescent="0.2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1:13" x14ac:dyDescent="0.2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1:13" x14ac:dyDescent="0.2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1:13" x14ac:dyDescent="0.2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1:13" x14ac:dyDescent="0.2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1:13" x14ac:dyDescent="0.2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1:13" x14ac:dyDescent="0.2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1:13" x14ac:dyDescent="0.2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1:13" x14ac:dyDescent="0.2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1:13" x14ac:dyDescent="0.2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1:13" x14ac:dyDescent="0.2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1:13" x14ac:dyDescent="0.2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1:13" x14ac:dyDescent="0.2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1:13" x14ac:dyDescent="0.2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1:13" x14ac:dyDescent="0.2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1:13" x14ac:dyDescent="0.2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1:13" x14ac:dyDescent="0.2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1:13" x14ac:dyDescent="0.2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1:13" x14ac:dyDescent="0.2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1:13" x14ac:dyDescent="0.2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1:13" x14ac:dyDescent="0.2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1:13" x14ac:dyDescent="0.2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1:13" x14ac:dyDescent="0.2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x14ac:dyDescent="0.2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1:13" x14ac:dyDescent="0.2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1:13" x14ac:dyDescent="0.2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1:13" x14ac:dyDescent="0.2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</row>
    <row r="230" spans="1:13" x14ac:dyDescent="0.2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</row>
    <row r="231" spans="1:13" x14ac:dyDescent="0.2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</row>
    <row r="232" spans="1:13" x14ac:dyDescent="0.2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</row>
    <row r="233" spans="1:13" x14ac:dyDescent="0.2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</row>
    <row r="234" spans="1:13" x14ac:dyDescent="0.2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</row>
    <row r="235" spans="1:13" x14ac:dyDescent="0.2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</row>
    <row r="236" spans="1:13" x14ac:dyDescent="0.2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</row>
    <row r="237" spans="1:13" x14ac:dyDescent="0.2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</row>
    <row r="238" spans="1:13" x14ac:dyDescent="0.2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</row>
    <row r="239" spans="1:13" x14ac:dyDescent="0.2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</row>
    <row r="240" spans="1:13" x14ac:dyDescent="0.2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</row>
    <row r="241" spans="1:13" x14ac:dyDescent="0.2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</row>
    <row r="242" spans="1:13" x14ac:dyDescent="0.2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</row>
    <row r="243" spans="1:13" x14ac:dyDescent="0.2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</row>
    <row r="244" spans="1:13" x14ac:dyDescent="0.2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x14ac:dyDescent="0.2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</row>
    <row r="246" spans="1:13" x14ac:dyDescent="0.2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</row>
    <row r="247" spans="1:13" x14ac:dyDescent="0.2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</row>
    <row r="248" spans="1:13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</row>
    <row r="249" spans="1:13" x14ac:dyDescent="0.2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</row>
    <row r="250" spans="1:13" x14ac:dyDescent="0.2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</row>
    <row r="251" spans="1:13" x14ac:dyDescent="0.2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</row>
    <row r="252" spans="1:13" x14ac:dyDescent="0.2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</row>
    <row r="253" spans="1:13" x14ac:dyDescent="0.2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</row>
    <row r="254" spans="1:13" x14ac:dyDescent="0.2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</row>
    <row r="255" spans="1:13" x14ac:dyDescent="0.2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</row>
    <row r="256" spans="1:13" x14ac:dyDescent="0.2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</row>
    <row r="257" spans="1:13" x14ac:dyDescent="0.2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</row>
    <row r="258" spans="1:13" x14ac:dyDescent="0.2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</row>
    <row r="259" spans="1:13" x14ac:dyDescent="0.2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</row>
    <row r="260" spans="1:13" x14ac:dyDescent="0.2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</row>
    <row r="261" spans="1:13" x14ac:dyDescent="0.2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</row>
    <row r="262" spans="1:13" x14ac:dyDescent="0.2">
      <c r="A262" s="14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</row>
    <row r="263" spans="1:13" x14ac:dyDescent="0.2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</row>
    <row r="264" spans="1:13" x14ac:dyDescent="0.2">
      <c r="A264" s="14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</row>
    <row r="265" spans="1:13" x14ac:dyDescent="0.2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</row>
    <row r="266" spans="1:13" x14ac:dyDescent="0.2">
      <c r="A266" s="14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</row>
    <row r="267" spans="1:13" x14ac:dyDescent="0.2">
      <c r="A267" s="14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</row>
    <row r="268" spans="1:13" x14ac:dyDescent="0.2">
      <c r="A268" s="14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</row>
    <row r="269" spans="1:13" x14ac:dyDescent="0.2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</row>
    <row r="270" spans="1:13" x14ac:dyDescent="0.2">
      <c r="A270" s="14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</row>
    <row r="271" spans="1:13" x14ac:dyDescent="0.2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</row>
    <row r="272" spans="1:13" x14ac:dyDescent="0.2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</row>
    <row r="273" spans="1:13" x14ac:dyDescent="0.2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</row>
    <row r="274" spans="1:13" x14ac:dyDescent="0.2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</row>
    <row r="275" spans="1:13" x14ac:dyDescent="0.2">
      <c r="A275" s="149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</row>
    <row r="276" spans="1:13" x14ac:dyDescent="0.2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</row>
    <row r="277" spans="1:13" x14ac:dyDescent="0.2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</row>
    <row r="278" spans="1:13" x14ac:dyDescent="0.2">
      <c r="A278" s="149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</row>
    <row r="279" spans="1:13" x14ac:dyDescent="0.2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</row>
    <row r="280" spans="1:13" x14ac:dyDescent="0.2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</row>
    <row r="281" spans="1:13" x14ac:dyDescent="0.2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</row>
    <row r="282" spans="1:13" x14ac:dyDescent="0.2">
      <c r="A282" s="149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</row>
    <row r="283" spans="1:13" x14ac:dyDescent="0.2">
      <c r="A283" s="149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</row>
    <row r="284" spans="1:13" x14ac:dyDescent="0.2">
      <c r="A284" s="149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</row>
    <row r="285" spans="1:13" x14ac:dyDescent="0.2">
      <c r="A285" s="149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</row>
    <row r="286" spans="1:13" x14ac:dyDescent="0.2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</row>
    <row r="287" spans="1:13" x14ac:dyDescent="0.2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</row>
    <row r="288" spans="1:13" x14ac:dyDescent="0.2">
      <c r="A288" s="149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</row>
    <row r="289" spans="1:13" x14ac:dyDescent="0.2">
      <c r="A289" s="149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</row>
    <row r="290" spans="1:13" x14ac:dyDescent="0.2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</row>
    <row r="291" spans="1:13" x14ac:dyDescent="0.2">
      <c r="A291" s="149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</row>
    <row r="292" spans="1:13" x14ac:dyDescent="0.2">
      <c r="A292" s="149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</row>
    <row r="293" spans="1:13" x14ac:dyDescent="0.2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</row>
    <row r="294" spans="1:13" x14ac:dyDescent="0.2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</row>
    <row r="295" spans="1:13" x14ac:dyDescent="0.2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</row>
    <row r="296" spans="1:13" x14ac:dyDescent="0.2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</row>
    <row r="297" spans="1:13" x14ac:dyDescent="0.2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</row>
    <row r="298" spans="1:13" x14ac:dyDescent="0.2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</row>
    <row r="299" spans="1:13" x14ac:dyDescent="0.2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</row>
    <row r="300" spans="1:13" x14ac:dyDescent="0.2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</row>
    <row r="301" spans="1:13" x14ac:dyDescent="0.2">
      <c r="A301" s="149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</row>
    <row r="302" spans="1:13" x14ac:dyDescent="0.2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</row>
    <row r="303" spans="1:13" x14ac:dyDescent="0.2">
      <c r="A303" s="149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</row>
    <row r="304" spans="1:13" x14ac:dyDescent="0.2">
      <c r="A304" s="149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</row>
    <row r="305" spans="1:13" x14ac:dyDescent="0.2">
      <c r="A305" s="149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</row>
    <row r="306" spans="1:13" x14ac:dyDescent="0.2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</row>
    <row r="307" spans="1:13" x14ac:dyDescent="0.2">
      <c r="A307" s="149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</row>
    <row r="308" spans="1:13" x14ac:dyDescent="0.2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</row>
    <row r="309" spans="1:13" x14ac:dyDescent="0.2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</row>
    <row r="310" spans="1:13" x14ac:dyDescent="0.2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</row>
    <row r="311" spans="1:13" x14ac:dyDescent="0.2">
      <c r="A311" s="14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</row>
    <row r="312" spans="1:13" x14ac:dyDescent="0.2">
      <c r="A312" s="149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</row>
    <row r="313" spans="1:13" x14ac:dyDescent="0.2">
      <c r="A313" s="149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</row>
    <row r="314" spans="1:13" x14ac:dyDescent="0.2">
      <c r="A314" s="149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</row>
    <row r="315" spans="1:13" x14ac:dyDescent="0.2">
      <c r="A315" s="149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</row>
    <row r="316" spans="1:13" x14ac:dyDescent="0.2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</row>
    <row r="317" spans="1:13" x14ac:dyDescent="0.2">
      <c r="A317" s="149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</row>
    <row r="318" spans="1:13" x14ac:dyDescent="0.2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</row>
    <row r="319" spans="1:13" x14ac:dyDescent="0.2">
      <c r="A319" s="149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</row>
    <row r="320" spans="1:13" x14ac:dyDescent="0.2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</row>
    <row r="321" spans="1:13" x14ac:dyDescent="0.2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</row>
    <row r="322" spans="1:13" x14ac:dyDescent="0.2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</row>
    <row r="323" spans="1:13" x14ac:dyDescent="0.2">
      <c r="A323" s="149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</row>
    <row r="324" spans="1:13" x14ac:dyDescent="0.2">
      <c r="A324" s="149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</row>
    <row r="325" spans="1:13" x14ac:dyDescent="0.2">
      <c r="A325" s="149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</row>
    <row r="326" spans="1:13" x14ac:dyDescent="0.2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</row>
    <row r="327" spans="1:13" x14ac:dyDescent="0.2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</row>
    <row r="328" spans="1:13" x14ac:dyDescent="0.2">
      <c r="A328" s="149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</row>
    <row r="329" spans="1:13" x14ac:dyDescent="0.2">
      <c r="A329" s="149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</row>
    <row r="330" spans="1:13" x14ac:dyDescent="0.2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</row>
    <row r="331" spans="1:13" x14ac:dyDescent="0.2">
      <c r="A331" s="149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</row>
    <row r="332" spans="1:13" x14ac:dyDescent="0.2">
      <c r="A332" s="149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</row>
    <row r="333" spans="1:13" x14ac:dyDescent="0.2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</row>
    <row r="334" spans="1:13" x14ac:dyDescent="0.2">
      <c r="A334" s="149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</row>
    <row r="335" spans="1:13" x14ac:dyDescent="0.2">
      <c r="A335" s="149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</row>
    <row r="336" spans="1:13" x14ac:dyDescent="0.2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</row>
    <row r="337" spans="1:13" x14ac:dyDescent="0.2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</row>
    <row r="338" spans="1:13" x14ac:dyDescent="0.2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</row>
    <row r="339" spans="1:13" x14ac:dyDescent="0.2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</row>
    <row r="340" spans="1:13" x14ac:dyDescent="0.2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</row>
    <row r="341" spans="1:13" x14ac:dyDescent="0.2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</row>
    <row r="342" spans="1:13" x14ac:dyDescent="0.2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</row>
    <row r="343" spans="1:13" x14ac:dyDescent="0.2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</row>
    <row r="344" spans="1:13" x14ac:dyDescent="0.2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</row>
    <row r="345" spans="1:13" x14ac:dyDescent="0.2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</row>
    <row r="346" spans="1:13" x14ac:dyDescent="0.2">
      <c r="A346" s="149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</row>
    <row r="347" spans="1:13" x14ac:dyDescent="0.2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</row>
    <row r="348" spans="1:13" x14ac:dyDescent="0.2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</row>
    <row r="349" spans="1:13" x14ac:dyDescent="0.2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</row>
    <row r="350" spans="1:13" x14ac:dyDescent="0.2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</row>
    <row r="351" spans="1:13" x14ac:dyDescent="0.2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</row>
    <row r="352" spans="1:13" x14ac:dyDescent="0.2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</row>
    <row r="353" spans="1:13" x14ac:dyDescent="0.2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</row>
    <row r="354" spans="1:13" x14ac:dyDescent="0.2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</row>
    <row r="355" spans="1:13" x14ac:dyDescent="0.2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</row>
    <row r="356" spans="1:13" x14ac:dyDescent="0.2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</row>
    <row r="357" spans="1:13" x14ac:dyDescent="0.2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</row>
    <row r="358" spans="1:13" x14ac:dyDescent="0.2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</row>
    <row r="359" spans="1:13" x14ac:dyDescent="0.2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</row>
    <row r="360" spans="1:13" x14ac:dyDescent="0.2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</row>
    <row r="361" spans="1:13" x14ac:dyDescent="0.2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</row>
    <row r="362" spans="1:13" x14ac:dyDescent="0.2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</row>
    <row r="363" spans="1:13" x14ac:dyDescent="0.2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</row>
    <row r="364" spans="1:13" x14ac:dyDescent="0.2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</row>
    <row r="365" spans="1:13" x14ac:dyDescent="0.2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</row>
    <row r="366" spans="1:13" x14ac:dyDescent="0.2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</row>
    <row r="367" spans="1:13" x14ac:dyDescent="0.2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</row>
    <row r="368" spans="1:13" x14ac:dyDescent="0.2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</row>
    <row r="369" spans="1:13" x14ac:dyDescent="0.2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</row>
    <row r="370" spans="1:13" x14ac:dyDescent="0.2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</row>
    <row r="371" spans="1:13" x14ac:dyDescent="0.2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</row>
    <row r="372" spans="1:13" x14ac:dyDescent="0.2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</row>
    <row r="373" spans="1:13" x14ac:dyDescent="0.2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</row>
    <row r="374" spans="1:13" x14ac:dyDescent="0.2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</row>
    <row r="375" spans="1:13" x14ac:dyDescent="0.2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</row>
    <row r="376" spans="1:13" x14ac:dyDescent="0.2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</row>
    <row r="377" spans="1:13" x14ac:dyDescent="0.2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</row>
    <row r="378" spans="1:13" x14ac:dyDescent="0.2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</row>
    <row r="379" spans="1:13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</row>
    <row r="380" spans="1:13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</row>
    <row r="381" spans="1:13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</row>
    <row r="382" spans="1:13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</row>
    <row r="383" spans="1:13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</row>
    <row r="384" spans="1:13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</row>
    <row r="385" spans="1:13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</row>
  </sheetData>
  <mergeCells count="11">
    <mergeCell ref="A8:A9"/>
    <mergeCell ref="A37:A38"/>
    <mergeCell ref="F37:G37"/>
    <mergeCell ref="A68:A69"/>
    <mergeCell ref="F68:G68"/>
    <mergeCell ref="A81:A82"/>
    <mergeCell ref="F81:G81"/>
    <mergeCell ref="A121:A122"/>
    <mergeCell ref="B121:K121"/>
    <mergeCell ref="A156:A157"/>
    <mergeCell ref="B156:K15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workbookViewId="0"/>
  </sheetViews>
  <sheetFormatPr baseColWidth="10" defaultRowHeight="12.75" x14ac:dyDescent="0.2"/>
  <cols>
    <col min="1" max="1" width="28.5703125" style="147" bestFit="1" customWidth="1"/>
    <col min="2" max="11" width="9" style="147" customWidth="1"/>
    <col min="12" max="12" width="2.7109375" style="147" customWidth="1"/>
    <col min="13" max="13" width="30.7109375" style="147" bestFit="1" customWidth="1"/>
    <col min="14" max="16384" width="11.42578125" style="147"/>
  </cols>
  <sheetData>
    <row r="1" spans="1:13" x14ac:dyDescent="0.2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A3" s="149" t="s">
        <v>1</v>
      </c>
      <c r="B3" s="78"/>
      <c r="C3" s="78">
        <v>0.1</v>
      </c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  <c r="L3" s="149"/>
      <c r="M3" s="149"/>
    </row>
    <row r="4" spans="1:13" x14ac:dyDescent="0.2">
      <c r="A4" s="149" t="s">
        <v>2</v>
      </c>
      <c r="B4" s="79">
        <v>0.4</v>
      </c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  <c r="L4" s="149"/>
      <c r="M4" s="149"/>
    </row>
    <row r="5" spans="1:13" x14ac:dyDescent="0.2">
      <c r="A5" s="149" t="s">
        <v>135</v>
      </c>
      <c r="B5" s="79"/>
      <c r="C5" s="79">
        <v>0.05</v>
      </c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  <c r="L5" s="149"/>
      <c r="M5" s="149"/>
    </row>
    <row r="6" spans="1:13" x14ac:dyDescent="0.2">
      <c r="A6" s="149" t="s">
        <v>136</v>
      </c>
      <c r="B6" s="79"/>
      <c r="C6" s="79">
        <v>0.08</v>
      </c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  <c r="L6" s="149"/>
      <c r="M6" s="149"/>
    </row>
    <row r="7" spans="1:13" x14ac:dyDescent="0.2">
      <c r="A7" s="149"/>
      <c r="B7" s="149"/>
      <c r="C7" s="150"/>
      <c r="D7" s="150"/>
      <c r="E7" s="149"/>
      <c r="F7" s="149"/>
      <c r="G7" s="149"/>
      <c r="H7" s="149"/>
      <c r="I7" s="149"/>
      <c r="J7" s="149"/>
      <c r="K7" s="149"/>
      <c r="L7" s="149"/>
      <c r="M7" s="149"/>
    </row>
    <row r="8" spans="1:13" x14ac:dyDescent="0.2">
      <c r="A8" s="232" t="s">
        <v>3</v>
      </c>
      <c r="B8" s="216" t="s">
        <v>185</v>
      </c>
      <c r="C8" s="238" t="s">
        <v>4</v>
      </c>
      <c r="D8" s="238"/>
      <c r="E8" s="238"/>
      <c r="F8" s="238"/>
      <c r="G8" s="238"/>
      <c r="H8" s="238"/>
      <c r="I8" s="238"/>
      <c r="J8" s="238"/>
      <c r="K8" s="239"/>
      <c r="L8" s="149"/>
      <c r="M8" s="149"/>
    </row>
    <row r="9" spans="1:13" x14ac:dyDescent="0.2">
      <c r="A9" s="233"/>
      <c r="B9" s="217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L9" s="149"/>
      <c r="M9" s="148" t="s">
        <v>5</v>
      </c>
    </row>
    <row r="10" spans="1:13" x14ac:dyDescent="0.2">
      <c r="A10" s="151" t="s">
        <v>6</v>
      </c>
      <c r="B10" s="99">
        <v>25000</v>
      </c>
      <c r="C10" s="99">
        <f>+B10*(1+C3)</f>
        <v>27500.000000000004</v>
      </c>
      <c r="D10" s="99">
        <f>+C10*(1+D3)</f>
        <v>30250.000000000007</v>
      </c>
      <c r="E10" s="99">
        <f>+D10*(1+E3)</f>
        <v>33275.000000000007</v>
      </c>
      <c r="F10" s="99">
        <f t="shared" ref="F10:K10" si="0">+E10*(1+F3)</f>
        <v>36602.500000000015</v>
      </c>
      <c r="G10" s="99">
        <f t="shared" si="0"/>
        <v>40262.750000000022</v>
      </c>
      <c r="H10" s="99">
        <f t="shared" si="0"/>
        <v>44289.025000000031</v>
      </c>
      <c r="I10" s="99">
        <f t="shared" si="0"/>
        <v>48717.927500000034</v>
      </c>
      <c r="J10" s="99">
        <f t="shared" si="0"/>
        <v>53589.720250000042</v>
      </c>
      <c r="K10" s="99">
        <f t="shared" si="0"/>
        <v>58948.692275000052</v>
      </c>
      <c r="L10" s="149"/>
      <c r="M10" s="149" t="s">
        <v>151</v>
      </c>
    </row>
    <row r="11" spans="1:13" x14ac:dyDescent="0.2">
      <c r="A11" s="153" t="s">
        <v>82</v>
      </c>
      <c r="B11" s="154">
        <v>0</v>
      </c>
      <c r="C11" s="154">
        <f>2%*B41</f>
        <v>130.63611111111109</v>
      </c>
      <c r="D11" s="154">
        <f t="shared" ref="D11:K11" ca="1" si="1">2%*C41</f>
        <v>63.924022795452096</v>
      </c>
      <c r="E11" s="154">
        <f t="shared" ca="1" si="1"/>
        <v>69.880851407927125</v>
      </c>
      <c r="F11" s="154">
        <f t="shared" ca="1" si="1"/>
        <v>80.723602430994177</v>
      </c>
      <c r="G11" s="154">
        <f t="shared" ca="1" si="1"/>
        <v>96.432177036104079</v>
      </c>
      <c r="H11" s="154">
        <f t="shared" ca="1" si="1"/>
        <v>117.54764363047539</v>
      </c>
      <c r="I11" s="154">
        <f t="shared" ca="1" si="1"/>
        <v>144.66679021601792</v>
      </c>
      <c r="J11" s="154">
        <f t="shared" ca="1" si="1"/>
        <v>178.448956340254</v>
      </c>
      <c r="K11" s="154">
        <f t="shared" ca="1" si="1"/>
        <v>219.62251294734648</v>
      </c>
      <c r="L11" s="149"/>
      <c r="M11" s="149" t="s">
        <v>150</v>
      </c>
    </row>
    <row r="12" spans="1:13" x14ac:dyDescent="0.2">
      <c r="A12" s="155" t="s">
        <v>149</v>
      </c>
      <c r="B12" s="154">
        <f>SUM(B10:B11)</f>
        <v>25000</v>
      </c>
      <c r="C12" s="154">
        <f t="shared" ref="C12:K12" si="2">SUM(C10:C11)</f>
        <v>27630.636111111115</v>
      </c>
      <c r="D12" s="154">
        <f t="shared" ca="1" si="2"/>
        <v>30313.924022795458</v>
      </c>
      <c r="E12" s="154">
        <f t="shared" ca="1" si="2"/>
        <v>33344.880851407936</v>
      </c>
      <c r="F12" s="154">
        <f t="shared" ca="1" si="2"/>
        <v>36683.223602431011</v>
      </c>
      <c r="G12" s="154">
        <f t="shared" ca="1" si="2"/>
        <v>40359.182177036128</v>
      </c>
      <c r="H12" s="154">
        <f t="shared" ca="1" si="2"/>
        <v>44406.572643630505</v>
      </c>
      <c r="I12" s="154">
        <f t="shared" ca="1" si="2"/>
        <v>48862.594290216053</v>
      </c>
      <c r="J12" s="154">
        <f t="shared" ca="1" si="2"/>
        <v>53768.169206340295</v>
      </c>
      <c r="K12" s="154">
        <f t="shared" ca="1" si="2"/>
        <v>59168.314787947398</v>
      </c>
      <c r="L12" s="149"/>
      <c r="M12" s="149"/>
    </row>
    <row r="13" spans="1:13" x14ac:dyDescent="0.2">
      <c r="A13" s="153" t="s">
        <v>7</v>
      </c>
      <c r="B13" s="152"/>
      <c r="C13" s="152">
        <f>+B15</f>
        <v>625</v>
      </c>
      <c r="D13" s="152">
        <f t="shared" ref="D13:K13" si="3">+C15</f>
        <v>690.7659027777778</v>
      </c>
      <c r="E13" s="152">
        <f t="shared" ca="1" si="3"/>
        <v>757.84810056988636</v>
      </c>
      <c r="F13" s="152">
        <f t="shared" ca="1" si="3"/>
        <v>833.62202128519834</v>
      </c>
      <c r="G13" s="152">
        <f t="shared" ca="1" si="3"/>
        <v>917.08059006077519</v>
      </c>
      <c r="H13" s="152">
        <f t="shared" ca="1" si="3"/>
        <v>1008.9795544259031</v>
      </c>
      <c r="I13" s="152">
        <f t="shared" ca="1" si="3"/>
        <v>1110.1643160907627</v>
      </c>
      <c r="J13" s="152">
        <f t="shared" ca="1" si="3"/>
        <v>1221.5648572554012</v>
      </c>
      <c r="K13" s="152">
        <f t="shared" ca="1" si="3"/>
        <v>1344.2042301585075</v>
      </c>
      <c r="L13" s="149"/>
      <c r="M13" s="149" t="s">
        <v>8</v>
      </c>
    </row>
    <row r="14" spans="1:13" x14ac:dyDescent="0.2">
      <c r="A14" s="153" t="s">
        <v>9</v>
      </c>
      <c r="B14" s="154">
        <f>+B16+B15-B13</f>
        <v>15625</v>
      </c>
      <c r="C14" s="154">
        <f>+C16+C15-C13</f>
        <v>16644.147569444445</v>
      </c>
      <c r="D14" s="154">
        <f t="shared" ref="D14:K14" ca="1" si="4">+D16+D15-D13</f>
        <v>18255.43661146938</v>
      </c>
      <c r="E14" s="154">
        <f t="shared" ca="1" si="4"/>
        <v>20082.702431560076</v>
      </c>
      <c r="F14" s="154">
        <f t="shared" ca="1" si="4"/>
        <v>22093.39273023418</v>
      </c>
      <c r="G14" s="154">
        <f t="shared" ca="1" si="4"/>
        <v>24307.408270586806</v>
      </c>
      <c r="H14" s="154">
        <f t="shared" ca="1" si="4"/>
        <v>26745.128347843161</v>
      </c>
      <c r="I14" s="154">
        <f t="shared" ca="1" si="4"/>
        <v>29428.95711529427</v>
      </c>
      <c r="J14" s="154">
        <f t="shared" ca="1" si="4"/>
        <v>32383.540896707284</v>
      </c>
      <c r="K14" s="154">
        <f t="shared" ca="1" si="4"/>
        <v>35635.992512308614</v>
      </c>
      <c r="L14" s="149"/>
      <c r="M14" s="149" t="s">
        <v>10</v>
      </c>
    </row>
    <row r="15" spans="1:13" x14ac:dyDescent="0.2">
      <c r="A15" s="153" t="s">
        <v>11</v>
      </c>
      <c r="B15" s="156">
        <f>+B43</f>
        <v>625</v>
      </c>
      <c r="C15" s="156">
        <f t="shared" ref="C15:K15" si="5">+C43</f>
        <v>690.7659027777778</v>
      </c>
      <c r="D15" s="156">
        <f t="shared" ca="1" si="5"/>
        <v>757.84810056988636</v>
      </c>
      <c r="E15" s="156">
        <f t="shared" ca="1" si="5"/>
        <v>833.62202128519834</v>
      </c>
      <c r="F15" s="156">
        <f t="shared" ca="1" si="5"/>
        <v>917.08059006077519</v>
      </c>
      <c r="G15" s="156">
        <f t="shared" ca="1" si="5"/>
        <v>1008.9795544259031</v>
      </c>
      <c r="H15" s="156">
        <f t="shared" ca="1" si="5"/>
        <v>1110.1643160907627</v>
      </c>
      <c r="I15" s="156">
        <f t="shared" ca="1" si="5"/>
        <v>1221.5648572554012</v>
      </c>
      <c r="J15" s="156">
        <f t="shared" ca="1" si="5"/>
        <v>1344.2042301585075</v>
      </c>
      <c r="K15" s="156">
        <f t="shared" ca="1" si="5"/>
        <v>1479.2078696986848</v>
      </c>
      <c r="L15" s="149"/>
      <c r="M15" s="149" t="s">
        <v>137</v>
      </c>
    </row>
    <row r="16" spans="1:13" x14ac:dyDescent="0.2">
      <c r="A16" s="155" t="s">
        <v>12</v>
      </c>
      <c r="B16" s="157">
        <f>+B12*(1-B4)</f>
        <v>15000</v>
      </c>
      <c r="C16" s="157">
        <f t="shared" ref="C16:K16" si="6">+C12*(1-C4)</f>
        <v>16578.381666666668</v>
      </c>
      <c r="D16" s="157">
        <f t="shared" ca="1" si="6"/>
        <v>18188.354413677273</v>
      </c>
      <c r="E16" s="157">
        <f t="shared" ca="1" si="6"/>
        <v>20006.928510844762</v>
      </c>
      <c r="F16" s="157">
        <f t="shared" ca="1" si="6"/>
        <v>22009.934161458605</v>
      </c>
      <c r="G16" s="157">
        <f t="shared" ca="1" si="6"/>
        <v>24215.509306221677</v>
      </c>
      <c r="H16" s="157">
        <f t="shared" ca="1" si="6"/>
        <v>26643.943586178302</v>
      </c>
      <c r="I16" s="157">
        <f t="shared" ca="1" si="6"/>
        <v>29317.55657412963</v>
      </c>
      <c r="J16" s="157">
        <f t="shared" ca="1" si="6"/>
        <v>32260.901523804176</v>
      </c>
      <c r="K16" s="157">
        <f t="shared" ca="1" si="6"/>
        <v>35500.988872768437</v>
      </c>
      <c r="L16" s="149"/>
      <c r="M16" s="149"/>
    </row>
    <row r="17" spans="1:13" x14ac:dyDescent="0.2">
      <c r="A17" s="158" t="s">
        <v>13</v>
      </c>
      <c r="B17" s="99">
        <f>+B12*B4</f>
        <v>10000</v>
      </c>
      <c r="C17" s="99">
        <f t="shared" ref="C17:K17" si="7">+C12*C4</f>
        <v>11052.254444444447</v>
      </c>
      <c r="D17" s="99">
        <f t="shared" ca="1" si="7"/>
        <v>12125.569609118184</v>
      </c>
      <c r="E17" s="99">
        <f t="shared" ca="1" si="7"/>
        <v>13337.952340563175</v>
      </c>
      <c r="F17" s="99">
        <f t="shared" ca="1" si="7"/>
        <v>14673.289440972405</v>
      </c>
      <c r="G17" s="99">
        <f t="shared" ca="1" si="7"/>
        <v>16143.672870814451</v>
      </c>
      <c r="H17" s="99">
        <f t="shared" ca="1" si="7"/>
        <v>17762.629057452203</v>
      </c>
      <c r="I17" s="99">
        <f t="shared" ca="1" si="7"/>
        <v>19545.037716086423</v>
      </c>
      <c r="J17" s="99">
        <f t="shared" ca="1" si="7"/>
        <v>21507.26768253612</v>
      </c>
      <c r="K17" s="99">
        <f t="shared" ca="1" si="7"/>
        <v>23667.325915178961</v>
      </c>
      <c r="L17" s="149"/>
      <c r="M17" s="149" t="s">
        <v>155</v>
      </c>
    </row>
    <row r="18" spans="1:13" x14ac:dyDescent="0.2">
      <c r="A18" s="153" t="s">
        <v>14</v>
      </c>
      <c r="B18" s="156">
        <v>2000</v>
      </c>
      <c r="C18" s="156">
        <f>+B18*(1+C5)</f>
        <v>2100</v>
      </c>
      <c r="D18" s="156">
        <f t="shared" ref="D18:K19" si="8">+C18*(1+D5)</f>
        <v>2205</v>
      </c>
      <c r="E18" s="156">
        <f t="shared" si="8"/>
        <v>2315.25</v>
      </c>
      <c r="F18" s="156">
        <f t="shared" si="8"/>
        <v>2431.0125000000003</v>
      </c>
      <c r="G18" s="156">
        <f t="shared" si="8"/>
        <v>2552.5631250000006</v>
      </c>
      <c r="H18" s="156">
        <f t="shared" si="8"/>
        <v>2680.1912812500009</v>
      </c>
      <c r="I18" s="156">
        <f t="shared" si="8"/>
        <v>2814.2008453125009</v>
      </c>
      <c r="J18" s="156">
        <f t="shared" si="8"/>
        <v>2954.9108875781262</v>
      </c>
      <c r="K18" s="156">
        <f t="shared" si="8"/>
        <v>3102.6564319570325</v>
      </c>
      <c r="L18" s="149"/>
      <c r="M18" s="149" t="s">
        <v>156</v>
      </c>
    </row>
    <row r="19" spans="1:13" x14ac:dyDescent="0.2">
      <c r="A19" s="159" t="s">
        <v>15</v>
      </c>
      <c r="B19" s="160">
        <v>1000</v>
      </c>
      <c r="C19" s="160">
        <f>+B19*(1+C6)</f>
        <v>1080</v>
      </c>
      <c r="D19" s="160">
        <f t="shared" si="8"/>
        <v>1166.4000000000001</v>
      </c>
      <c r="E19" s="160">
        <f t="shared" si="8"/>
        <v>1259.7120000000002</v>
      </c>
      <c r="F19" s="160">
        <f t="shared" si="8"/>
        <v>1360.4889600000004</v>
      </c>
      <c r="G19" s="160">
        <f t="shared" si="8"/>
        <v>1469.3280768000004</v>
      </c>
      <c r="H19" s="160">
        <f t="shared" si="8"/>
        <v>1586.8743229440006</v>
      </c>
      <c r="I19" s="160">
        <f t="shared" si="8"/>
        <v>1713.8242687795207</v>
      </c>
      <c r="J19" s="160">
        <f t="shared" si="8"/>
        <v>1850.9302102818824</v>
      </c>
      <c r="K19" s="160">
        <f t="shared" si="8"/>
        <v>1999.0046271044332</v>
      </c>
      <c r="L19" s="149"/>
      <c r="M19" s="149" t="s">
        <v>157</v>
      </c>
    </row>
    <row r="20" spans="1:13" x14ac:dyDescent="0.2">
      <c r="A20" s="158" t="s">
        <v>16</v>
      </c>
      <c r="B20" s="154">
        <f>+B17-B18-B19</f>
        <v>7000</v>
      </c>
      <c r="C20" s="154">
        <f t="shared" ref="C20:K20" si="9">+C17-C18-C19</f>
        <v>7872.2544444444466</v>
      </c>
      <c r="D20" s="154">
        <f t="shared" ca="1" si="9"/>
        <v>8754.1696091181839</v>
      </c>
      <c r="E20" s="154">
        <f t="shared" ca="1" si="9"/>
        <v>9762.9903405631758</v>
      </c>
      <c r="F20" s="154">
        <f t="shared" ca="1" si="9"/>
        <v>10881.787980972404</v>
      </c>
      <c r="G20" s="154">
        <f t="shared" ca="1" si="9"/>
        <v>12121.78166901445</v>
      </c>
      <c r="H20" s="154">
        <f t="shared" ca="1" si="9"/>
        <v>13495.563453258201</v>
      </c>
      <c r="I20" s="154">
        <f t="shared" ca="1" si="9"/>
        <v>15017.0126019944</v>
      </c>
      <c r="J20" s="154">
        <f t="shared" ca="1" si="9"/>
        <v>16701.426584676108</v>
      </c>
      <c r="K20" s="154">
        <f t="shared" ca="1" si="9"/>
        <v>18565.664856117495</v>
      </c>
      <c r="L20" s="149"/>
      <c r="M20" s="149"/>
    </row>
    <row r="21" spans="1:13" x14ac:dyDescent="0.2">
      <c r="A21" s="159" t="s">
        <v>17</v>
      </c>
      <c r="B21" s="219"/>
      <c r="C21" s="101">
        <f t="shared" ref="C21:K21" ca="1" si="10">5%*C47</f>
        <v>2500</v>
      </c>
      <c r="D21" s="101">
        <f t="shared" ca="1" si="10"/>
        <v>2500</v>
      </c>
      <c r="E21" s="101">
        <f t="shared" ca="1" si="10"/>
        <v>2500</v>
      </c>
      <c r="F21" s="101">
        <f t="shared" ca="1" si="10"/>
        <v>2500</v>
      </c>
      <c r="G21" s="101">
        <f t="shared" ca="1" si="10"/>
        <v>2500</v>
      </c>
      <c r="H21" s="101">
        <f t="shared" ca="1" si="10"/>
        <v>2500</v>
      </c>
      <c r="I21" s="101">
        <f t="shared" ca="1" si="10"/>
        <v>2500</v>
      </c>
      <c r="J21" s="101">
        <f t="shared" ca="1" si="10"/>
        <v>2500</v>
      </c>
      <c r="K21" s="101">
        <f t="shared" ca="1" si="10"/>
        <v>2500</v>
      </c>
      <c r="L21" s="149"/>
      <c r="M21" s="149" t="s">
        <v>158</v>
      </c>
    </row>
    <row r="22" spans="1:13" x14ac:dyDescent="0.2">
      <c r="A22" s="158" t="s">
        <v>18</v>
      </c>
      <c r="B22" s="102">
        <f>+B20-B21</f>
        <v>7000</v>
      </c>
      <c r="C22" s="102">
        <f t="shared" ref="C22:K22" ca="1" si="11">+C20-C21</f>
        <v>5372.2544444444466</v>
      </c>
      <c r="D22" s="102">
        <f t="shared" ca="1" si="11"/>
        <v>6254.1696091181839</v>
      </c>
      <c r="E22" s="102">
        <f t="shared" ca="1" si="11"/>
        <v>7262.9903405631758</v>
      </c>
      <c r="F22" s="102">
        <f t="shared" ca="1" si="11"/>
        <v>8381.7879809724036</v>
      </c>
      <c r="G22" s="102">
        <f t="shared" ca="1" si="11"/>
        <v>9621.78166901445</v>
      </c>
      <c r="H22" s="102">
        <f t="shared" ca="1" si="11"/>
        <v>10995.563453258201</v>
      </c>
      <c r="I22" s="102">
        <f t="shared" ca="1" si="11"/>
        <v>12517.0126019944</v>
      </c>
      <c r="J22" s="102">
        <f t="shared" ca="1" si="11"/>
        <v>14201.426584676108</v>
      </c>
      <c r="K22" s="102">
        <f t="shared" ca="1" si="11"/>
        <v>16065.664856117495</v>
      </c>
      <c r="L22" s="149"/>
      <c r="M22" s="149" t="s">
        <v>39</v>
      </c>
    </row>
    <row r="23" spans="1:13" x14ac:dyDescent="0.2">
      <c r="A23" s="159" t="s">
        <v>19</v>
      </c>
      <c r="B23" s="220">
        <v>0</v>
      </c>
      <c r="C23" s="109">
        <f>+B57*10%</f>
        <v>2000</v>
      </c>
      <c r="D23" s="109">
        <f t="shared" ref="D23:K23" si="12">+C57*10%</f>
        <v>1874.509210234977</v>
      </c>
      <c r="E23" s="109">
        <f t="shared" si="12"/>
        <v>1736.4693414934516</v>
      </c>
      <c r="F23" s="109">
        <f t="shared" si="12"/>
        <v>1584.6254858777734</v>
      </c>
      <c r="G23" s="109">
        <f t="shared" si="12"/>
        <v>1417.5972447005274</v>
      </c>
      <c r="H23" s="109">
        <f t="shared" si="12"/>
        <v>1233.866179405557</v>
      </c>
      <c r="I23" s="109">
        <f t="shared" si="12"/>
        <v>1031.7620075810894</v>
      </c>
      <c r="J23" s="109">
        <f t="shared" si="12"/>
        <v>809.44741857417512</v>
      </c>
      <c r="K23" s="109">
        <f t="shared" si="12"/>
        <v>564.90137066656939</v>
      </c>
      <c r="L23" s="149"/>
      <c r="M23" s="149" t="s">
        <v>159</v>
      </c>
    </row>
    <row r="24" spans="1:13" x14ac:dyDescent="0.2">
      <c r="A24" s="158" t="s">
        <v>20</v>
      </c>
      <c r="B24" s="102">
        <f>+B22-B23</f>
        <v>7000</v>
      </c>
      <c r="C24" s="102">
        <f t="shared" ref="C24:K24" ca="1" si="13">+C22-C23</f>
        <v>3372.2544444444466</v>
      </c>
      <c r="D24" s="102">
        <f t="shared" ca="1" si="13"/>
        <v>4379.6603988832067</v>
      </c>
      <c r="E24" s="102">
        <f t="shared" ca="1" si="13"/>
        <v>5526.520999069724</v>
      </c>
      <c r="F24" s="102">
        <f t="shared" ca="1" si="13"/>
        <v>6797.1624950946298</v>
      </c>
      <c r="G24" s="102">
        <f t="shared" ca="1" si="13"/>
        <v>8204.1844243139221</v>
      </c>
      <c r="H24" s="102">
        <f t="shared" ca="1" si="13"/>
        <v>9761.6972738526438</v>
      </c>
      <c r="I24" s="102">
        <f t="shared" ca="1" si="13"/>
        <v>11485.25059441331</v>
      </c>
      <c r="J24" s="102">
        <f t="shared" ca="1" si="13"/>
        <v>13391.979166101934</v>
      </c>
      <c r="K24" s="102">
        <f t="shared" ca="1" si="13"/>
        <v>15500.763485450925</v>
      </c>
      <c r="L24" s="149"/>
      <c r="M24" s="149"/>
    </row>
    <row r="25" spans="1:13" x14ac:dyDescent="0.2">
      <c r="A25" s="159" t="s">
        <v>21</v>
      </c>
      <c r="B25" s="110">
        <f>+B24*36.25%</f>
        <v>2537.5</v>
      </c>
      <c r="C25" s="110">
        <f t="shared" ref="C25:K25" ca="1" si="14">+C24*36.25%</f>
        <v>1222.4422361111119</v>
      </c>
      <c r="D25" s="110">
        <f t="shared" ca="1" si="14"/>
        <v>1587.6268945951624</v>
      </c>
      <c r="E25" s="110">
        <f t="shared" ca="1" si="14"/>
        <v>2003.3638621627749</v>
      </c>
      <c r="F25" s="110">
        <f t="shared" ca="1" si="14"/>
        <v>2463.971404471803</v>
      </c>
      <c r="G25" s="110">
        <f t="shared" ca="1" si="14"/>
        <v>2974.0168538137968</v>
      </c>
      <c r="H25" s="110">
        <f t="shared" ca="1" si="14"/>
        <v>3538.6152617715834</v>
      </c>
      <c r="I25" s="110">
        <f t="shared" ca="1" si="14"/>
        <v>4163.4033404748243</v>
      </c>
      <c r="J25" s="110">
        <f t="shared" ca="1" si="14"/>
        <v>4854.5924477119506</v>
      </c>
      <c r="K25" s="110">
        <f t="shared" ca="1" si="14"/>
        <v>5619.0267634759603</v>
      </c>
      <c r="L25" s="149"/>
      <c r="M25" s="149" t="s">
        <v>22</v>
      </c>
    </row>
    <row r="26" spans="1:13" x14ac:dyDescent="0.2">
      <c r="A26" s="162" t="s">
        <v>23</v>
      </c>
      <c r="B26" s="102">
        <f>+B24-B25</f>
        <v>4462.5</v>
      </c>
      <c r="C26" s="102">
        <f t="shared" ref="C26:K26" ca="1" si="15">+C24-C25</f>
        <v>2149.8122083333346</v>
      </c>
      <c r="D26" s="102">
        <f t="shared" ca="1" si="15"/>
        <v>2792.0335042880442</v>
      </c>
      <c r="E26" s="102">
        <f t="shared" ca="1" si="15"/>
        <v>3523.1571369069488</v>
      </c>
      <c r="F26" s="102">
        <f t="shared" ca="1" si="15"/>
        <v>4333.1910906228268</v>
      </c>
      <c r="G26" s="102">
        <f t="shared" ca="1" si="15"/>
        <v>5230.1675705001253</v>
      </c>
      <c r="H26" s="102">
        <f t="shared" ca="1" si="15"/>
        <v>6223.0820120810604</v>
      </c>
      <c r="I26" s="102">
        <f t="shared" ca="1" si="15"/>
        <v>7321.8472539384857</v>
      </c>
      <c r="J26" s="102">
        <f t="shared" ca="1" si="15"/>
        <v>8537.386718389982</v>
      </c>
      <c r="K26" s="102">
        <f t="shared" ca="1" si="15"/>
        <v>9881.7367219749649</v>
      </c>
      <c r="L26" s="149"/>
      <c r="M26" s="149"/>
    </row>
    <row r="27" spans="1:13" x14ac:dyDescent="0.2">
      <c r="A27" s="159" t="s">
        <v>24</v>
      </c>
      <c r="B27" s="109">
        <f>+B26*60%</f>
        <v>2677.5</v>
      </c>
      <c r="C27" s="109">
        <f t="shared" ref="C27:K27" ca="1" si="16">+C26*60%</f>
        <v>1289.8873250000008</v>
      </c>
      <c r="D27" s="109">
        <f t="shared" ca="1" si="16"/>
        <v>1675.2201025728266</v>
      </c>
      <c r="E27" s="109">
        <f t="shared" ca="1" si="16"/>
        <v>2113.8942821441692</v>
      </c>
      <c r="F27" s="109">
        <f t="shared" ca="1" si="16"/>
        <v>2599.9146543736961</v>
      </c>
      <c r="G27" s="109">
        <f t="shared" ca="1" si="16"/>
        <v>3138.1005423000752</v>
      </c>
      <c r="H27" s="109">
        <f t="shared" ca="1" si="16"/>
        <v>3733.849207248636</v>
      </c>
      <c r="I27" s="109">
        <f t="shared" ca="1" si="16"/>
        <v>4393.1083523630914</v>
      </c>
      <c r="J27" s="109">
        <f t="shared" ca="1" si="16"/>
        <v>5122.432031033989</v>
      </c>
      <c r="K27" s="109">
        <f t="shared" ca="1" si="16"/>
        <v>5929.0420331849791</v>
      </c>
      <c r="L27" s="149"/>
      <c r="M27" s="149" t="s">
        <v>146</v>
      </c>
    </row>
    <row r="28" spans="1:13" x14ac:dyDescent="0.2">
      <c r="A28" s="155" t="s">
        <v>25</v>
      </c>
      <c r="B28" s="111">
        <f>+B26-B27</f>
        <v>1785</v>
      </c>
      <c r="C28" s="111">
        <f t="shared" ref="C28:K28" ca="1" si="17">+C26-C27</f>
        <v>859.92488333333381</v>
      </c>
      <c r="D28" s="111">
        <f t="shared" ca="1" si="17"/>
        <v>1116.8134017152177</v>
      </c>
      <c r="E28" s="111">
        <f t="shared" ca="1" si="17"/>
        <v>1409.2628547627796</v>
      </c>
      <c r="F28" s="111">
        <f t="shared" ca="1" si="17"/>
        <v>1733.2764362491307</v>
      </c>
      <c r="G28" s="111">
        <f t="shared" ca="1" si="17"/>
        <v>2092.0670282000501</v>
      </c>
      <c r="H28" s="111">
        <f t="shared" ca="1" si="17"/>
        <v>2489.2328048324243</v>
      </c>
      <c r="I28" s="111">
        <f t="shared" ca="1" si="17"/>
        <v>2928.7389015753943</v>
      </c>
      <c r="J28" s="111">
        <f t="shared" ca="1" si="17"/>
        <v>3414.954687355993</v>
      </c>
      <c r="K28" s="111">
        <f t="shared" ca="1" si="17"/>
        <v>3952.6946887899858</v>
      </c>
      <c r="L28" s="149"/>
      <c r="M28" s="149"/>
    </row>
    <row r="29" spans="1:13" x14ac:dyDescent="0.2">
      <c r="A29" s="149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49"/>
      <c r="M29" s="149"/>
    </row>
    <row r="30" spans="1:13" x14ac:dyDescent="0.2">
      <c r="A30" s="148" t="s">
        <v>26</v>
      </c>
      <c r="B30" s="166"/>
      <c r="C30" s="165"/>
      <c r="D30" s="165"/>
      <c r="E30" s="165"/>
      <c r="F30" s="165"/>
      <c r="G30" s="165"/>
      <c r="H30" s="165"/>
      <c r="I30" s="165"/>
      <c r="J30" s="165"/>
      <c r="K30" s="165"/>
      <c r="L30" s="149"/>
      <c r="M30" s="149"/>
    </row>
    <row r="31" spans="1:13" x14ac:dyDescent="0.2">
      <c r="A31" s="149" t="s">
        <v>27</v>
      </c>
      <c r="B31" s="72">
        <v>30</v>
      </c>
      <c r="C31" s="72">
        <v>30</v>
      </c>
      <c r="D31" s="72">
        <v>30</v>
      </c>
      <c r="E31" s="72">
        <v>30</v>
      </c>
      <c r="F31" s="72">
        <v>30</v>
      </c>
      <c r="G31" s="72">
        <v>30</v>
      </c>
      <c r="H31" s="72">
        <v>30</v>
      </c>
      <c r="I31" s="72">
        <v>30</v>
      </c>
      <c r="J31" s="72">
        <v>30</v>
      </c>
      <c r="K31" s="72">
        <v>30</v>
      </c>
      <c r="L31" s="149"/>
      <c r="M31" s="149"/>
    </row>
    <row r="32" spans="1:13" x14ac:dyDescent="0.2">
      <c r="A32" s="149" t="s">
        <v>28</v>
      </c>
      <c r="B32" s="72">
        <v>15</v>
      </c>
      <c r="C32" s="72">
        <v>15</v>
      </c>
      <c r="D32" s="72">
        <v>15</v>
      </c>
      <c r="E32" s="72">
        <v>15</v>
      </c>
      <c r="F32" s="72">
        <v>15</v>
      </c>
      <c r="G32" s="72">
        <v>15</v>
      </c>
      <c r="H32" s="72">
        <v>15</v>
      </c>
      <c r="I32" s="72">
        <v>15</v>
      </c>
      <c r="J32" s="72">
        <v>15</v>
      </c>
      <c r="K32" s="72">
        <v>15</v>
      </c>
      <c r="L32" s="149"/>
      <c r="M32" s="149"/>
    </row>
    <row r="33" spans="1:13" x14ac:dyDescent="0.2">
      <c r="A33" s="149" t="s">
        <v>29</v>
      </c>
      <c r="B33" s="72">
        <v>50</v>
      </c>
      <c r="C33" s="72">
        <v>50</v>
      </c>
      <c r="D33" s="72">
        <v>50</v>
      </c>
      <c r="E33" s="72">
        <v>50</v>
      </c>
      <c r="F33" s="72">
        <v>50</v>
      </c>
      <c r="G33" s="72">
        <v>50</v>
      </c>
      <c r="H33" s="72">
        <v>50</v>
      </c>
      <c r="I33" s="72">
        <v>50</v>
      </c>
      <c r="J33" s="72">
        <v>50</v>
      </c>
      <c r="K33" s="72">
        <v>50</v>
      </c>
      <c r="L33" s="149"/>
      <c r="M33" s="149"/>
    </row>
    <row r="34" spans="1:13" x14ac:dyDescent="0.2">
      <c r="A34" s="149" t="s">
        <v>138</v>
      </c>
      <c r="B34" s="76">
        <v>0.1</v>
      </c>
      <c r="C34" s="76">
        <v>0.1</v>
      </c>
      <c r="D34" s="76">
        <v>0.1</v>
      </c>
      <c r="E34" s="76">
        <v>0.1</v>
      </c>
      <c r="F34" s="76">
        <v>0.1</v>
      </c>
      <c r="G34" s="76">
        <v>0.1</v>
      </c>
      <c r="H34" s="76">
        <v>0.1</v>
      </c>
      <c r="I34" s="76">
        <v>0.1</v>
      </c>
      <c r="J34" s="76">
        <v>0.1</v>
      </c>
      <c r="K34" s="76">
        <v>0.1</v>
      </c>
      <c r="L34" s="149"/>
      <c r="M34" s="149"/>
    </row>
    <row r="35" spans="1:13" x14ac:dyDescent="0.2">
      <c r="A35" s="149" t="s">
        <v>139</v>
      </c>
      <c r="B35" s="76">
        <v>0.12</v>
      </c>
      <c r="C35" s="76">
        <v>0.12</v>
      </c>
      <c r="D35" s="76">
        <v>0.12</v>
      </c>
      <c r="E35" s="76">
        <v>0.12</v>
      </c>
      <c r="F35" s="76">
        <v>0.12</v>
      </c>
      <c r="G35" s="76">
        <v>0.12</v>
      </c>
      <c r="H35" s="76">
        <v>0.12</v>
      </c>
      <c r="I35" s="76">
        <v>0.12</v>
      </c>
      <c r="J35" s="76">
        <v>0.12</v>
      </c>
      <c r="K35" s="76">
        <v>0.12</v>
      </c>
      <c r="L35" s="149"/>
      <c r="M35" s="149"/>
    </row>
    <row r="36" spans="1:13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x14ac:dyDescent="0.2">
      <c r="A37" s="232" t="s">
        <v>31</v>
      </c>
      <c r="B37" s="216" t="s">
        <v>185</v>
      </c>
      <c r="C37" s="238" t="s">
        <v>4</v>
      </c>
      <c r="D37" s="238"/>
      <c r="E37" s="238"/>
      <c r="F37" s="238"/>
      <c r="G37" s="238"/>
      <c r="H37" s="238"/>
      <c r="I37" s="238"/>
      <c r="J37" s="238"/>
      <c r="K37" s="239"/>
      <c r="L37" s="149"/>
      <c r="M37" s="149"/>
    </row>
    <row r="38" spans="1:13" x14ac:dyDescent="0.2">
      <c r="A38" s="233"/>
      <c r="B38" s="217">
        <v>2010</v>
      </c>
      <c r="C38" s="3">
        <v>2011</v>
      </c>
      <c r="D38" s="3">
        <v>2012</v>
      </c>
      <c r="E38" s="3">
        <v>2013</v>
      </c>
      <c r="F38" s="3">
        <v>2014</v>
      </c>
      <c r="G38" s="3">
        <v>2015</v>
      </c>
      <c r="H38" s="3">
        <v>2016</v>
      </c>
      <c r="I38" s="3">
        <v>2017</v>
      </c>
      <c r="J38" s="3">
        <v>2018</v>
      </c>
      <c r="K38" s="3">
        <v>2019</v>
      </c>
      <c r="L38" s="149"/>
      <c r="M38" s="149"/>
    </row>
    <row r="39" spans="1:13" x14ac:dyDescent="0.2">
      <c r="A39" s="162" t="s">
        <v>32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49"/>
      <c r="M39" s="149"/>
    </row>
    <row r="40" spans="1:13" x14ac:dyDescent="0.2">
      <c r="A40" s="153" t="s">
        <v>33</v>
      </c>
      <c r="B40" s="101">
        <f>+MAX(B10*5%,1000)</f>
        <v>1250</v>
      </c>
      <c r="C40" s="101">
        <f t="shared" ref="C40:K40" si="18">+MAX(C10*5%,1000)</f>
        <v>1375.0000000000002</v>
      </c>
      <c r="D40" s="101">
        <f t="shared" si="18"/>
        <v>1512.5000000000005</v>
      </c>
      <c r="E40" s="101">
        <f t="shared" si="18"/>
        <v>1663.7500000000005</v>
      </c>
      <c r="F40" s="101">
        <f t="shared" si="18"/>
        <v>1830.1250000000009</v>
      </c>
      <c r="G40" s="101">
        <f t="shared" si="18"/>
        <v>2013.1375000000012</v>
      </c>
      <c r="H40" s="101">
        <f t="shared" si="18"/>
        <v>2214.4512500000014</v>
      </c>
      <c r="I40" s="101">
        <f t="shared" si="18"/>
        <v>2435.8963750000016</v>
      </c>
      <c r="J40" s="101">
        <f t="shared" si="18"/>
        <v>2679.4860125000023</v>
      </c>
      <c r="K40" s="101">
        <f t="shared" si="18"/>
        <v>2947.4346137500029</v>
      </c>
      <c r="L40" s="149"/>
      <c r="M40" s="149" t="s">
        <v>168</v>
      </c>
    </row>
    <row r="41" spans="1:13" x14ac:dyDescent="0.2">
      <c r="A41" s="153" t="s">
        <v>34</v>
      </c>
      <c r="B41" s="95">
        <f>+B118</f>
        <v>6531.8055555555547</v>
      </c>
      <c r="C41" s="95">
        <f t="shared" ref="C41:K41" ca="1" si="19">+C118</f>
        <v>3196.2011397726046</v>
      </c>
      <c r="D41" s="95">
        <f t="shared" ca="1" si="19"/>
        <v>3494.0425703963565</v>
      </c>
      <c r="E41" s="95">
        <f t="shared" ca="1" si="19"/>
        <v>4036.1801215497089</v>
      </c>
      <c r="F41" s="95">
        <f t="shared" ca="1" si="19"/>
        <v>4821.6088518052038</v>
      </c>
      <c r="G41" s="95">
        <f t="shared" ca="1" si="19"/>
        <v>5877.3821815237698</v>
      </c>
      <c r="H41" s="95">
        <f t="shared" ca="1" si="19"/>
        <v>7233.3395108008963</v>
      </c>
      <c r="I41" s="95">
        <f t="shared" ca="1" si="19"/>
        <v>8922.4478170127004</v>
      </c>
      <c r="J41" s="95">
        <f t="shared" ca="1" si="19"/>
        <v>10981.125647367324</v>
      </c>
      <c r="K41" s="95">
        <f t="shared" ca="1" si="19"/>
        <v>13449.597759727467</v>
      </c>
      <c r="L41" s="149"/>
      <c r="M41" s="149"/>
    </row>
    <row r="42" spans="1:13" x14ac:dyDescent="0.2">
      <c r="A42" s="153" t="s">
        <v>35</v>
      </c>
      <c r="B42" s="103">
        <f>+(B10/360)*B31</f>
        <v>2083.3333333333335</v>
      </c>
      <c r="C42" s="103">
        <f t="shared" ref="C42:K42" si="20">+(C10/360)*C31</f>
        <v>2291.666666666667</v>
      </c>
      <c r="D42" s="103">
        <f t="shared" si="20"/>
        <v>2520.8333333333339</v>
      </c>
      <c r="E42" s="103">
        <f t="shared" si="20"/>
        <v>2772.916666666667</v>
      </c>
      <c r="F42" s="103">
        <f t="shared" si="20"/>
        <v>3050.2083333333348</v>
      </c>
      <c r="G42" s="103">
        <f t="shared" si="20"/>
        <v>3355.2291666666683</v>
      </c>
      <c r="H42" s="103">
        <f t="shared" si="20"/>
        <v>3690.7520833333356</v>
      </c>
      <c r="I42" s="103">
        <f t="shared" si="20"/>
        <v>4059.8272916666697</v>
      </c>
      <c r="J42" s="103">
        <f t="shared" si="20"/>
        <v>4465.8100208333371</v>
      </c>
      <c r="K42" s="103">
        <f t="shared" si="20"/>
        <v>4912.3910229166704</v>
      </c>
      <c r="L42" s="149"/>
      <c r="M42" s="149"/>
    </row>
    <row r="43" spans="1:13" x14ac:dyDescent="0.2">
      <c r="A43" s="153" t="s">
        <v>36</v>
      </c>
      <c r="B43" s="103">
        <f>+(B16/360)*B32</f>
        <v>625</v>
      </c>
      <c r="C43" s="103">
        <f>+(C16/360)*C32</f>
        <v>690.7659027777778</v>
      </c>
      <c r="D43" s="103">
        <f t="shared" ref="D43:K43" ca="1" si="21">+(D16/360)*D32</f>
        <v>757.84810056988636</v>
      </c>
      <c r="E43" s="103">
        <f t="shared" ca="1" si="21"/>
        <v>833.62202128519834</v>
      </c>
      <c r="F43" s="103">
        <f t="shared" ca="1" si="21"/>
        <v>917.08059006077519</v>
      </c>
      <c r="G43" s="103">
        <f t="shared" ca="1" si="21"/>
        <v>1008.9795544259031</v>
      </c>
      <c r="H43" s="103">
        <f t="shared" ca="1" si="21"/>
        <v>1110.1643160907627</v>
      </c>
      <c r="I43" s="103">
        <f t="shared" ca="1" si="21"/>
        <v>1221.5648572554012</v>
      </c>
      <c r="J43" s="103">
        <f t="shared" ca="1" si="21"/>
        <v>1344.2042301585075</v>
      </c>
      <c r="K43" s="103">
        <f t="shared" ca="1" si="21"/>
        <v>1479.2078696986848</v>
      </c>
      <c r="L43" s="149"/>
      <c r="M43" s="149"/>
    </row>
    <row r="44" spans="1:13" x14ac:dyDescent="0.2">
      <c r="A44" s="155" t="s">
        <v>37</v>
      </c>
      <c r="B44" s="54">
        <f>SUM(B40:B43)</f>
        <v>10490.138888888889</v>
      </c>
      <c r="C44" s="54">
        <f t="shared" ref="C44:K44" ca="1" si="22">SUM(C40:C43)</f>
        <v>7553.6337092170497</v>
      </c>
      <c r="D44" s="54">
        <f t="shared" ca="1" si="22"/>
        <v>8285.2240042995782</v>
      </c>
      <c r="E44" s="54">
        <f t="shared" ca="1" si="22"/>
        <v>9306.4688095015736</v>
      </c>
      <c r="F44" s="54">
        <f t="shared" ca="1" si="22"/>
        <v>10619.022775199315</v>
      </c>
      <c r="G44" s="54">
        <f t="shared" ca="1" si="22"/>
        <v>12254.728402616342</v>
      </c>
      <c r="H44" s="54">
        <f t="shared" ca="1" si="22"/>
        <v>14248.707160224996</v>
      </c>
      <c r="I44" s="54">
        <f t="shared" ca="1" si="22"/>
        <v>16639.736340934774</v>
      </c>
      <c r="J44" s="54">
        <f t="shared" ca="1" si="22"/>
        <v>19470.625910859169</v>
      </c>
      <c r="K44" s="54">
        <f t="shared" ca="1" si="22"/>
        <v>22788.631266092823</v>
      </c>
      <c r="L44" s="149"/>
      <c r="M44" s="149"/>
    </row>
    <row r="45" spans="1:13" x14ac:dyDescent="0.2">
      <c r="A45" s="153" t="s">
        <v>38</v>
      </c>
      <c r="B45" s="221">
        <f>50000</f>
        <v>50000</v>
      </c>
      <c r="C45" s="99">
        <f ca="1">+B45+C100</f>
        <v>52500</v>
      </c>
      <c r="D45" s="99">
        <f t="shared" ref="D45:K45" ca="1" si="23">+C45+D100</f>
        <v>55000</v>
      </c>
      <c r="E45" s="99">
        <f t="shared" ca="1" si="23"/>
        <v>57500</v>
      </c>
      <c r="F45" s="99">
        <f t="shared" ca="1" si="23"/>
        <v>60000</v>
      </c>
      <c r="G45" s="99">
        <f t="shared" ca="1" si="23"/>
        <v>62500</v>
      </c>
      <c r="H45" s="99">
        <f t="shared" ca="1" si="23"/>
        <v>65000</v>
      </c>
      <c r="I45" s="99">
        <f t="shared" ca="1" si="23"/>
        <v>67500</v>
      </c>
      <c r="J45" s="99">
        <f t="shared" ca="1" si="23"/>
        <v>70000</v>
      </c>
      <c r="K45" s="99">
        <f t="shared" ca="1" si="23"/>
        <v>72500</v>
      </c>
      <c r="L45" s="149"/>
      <c r="M45" s="170" t="s">
        <v>154</v>
      </c>
    </row>
    <row r="46" spans="1:13" x14ac:dyDescent="0.2">
      <c r="A46" s="153" t="s">
        <v>40</v>
      </c>
      <c r="B46" s="154">
        <f>0-B21</f>
        <v>0</v>
      </c>
      <c r="C46" s="154">
        <f ca="1">+B46-C21</f>
        <v>-2500</v>
      </c>
      <c r="D46" s="154">
        <f ca="1">+C46-D21</f>
        <v>-5000</v>
      </c>
      <c r="E46" s="154">
        <f ca="1">+D46-E21</f>
        <v>-7500</v>
      </c>
      <c r="F46" s="154">
        <f t="shared" ref="F46:K46" ca="1" si="24">+E46-F21</f>
        <v>-10000</v>
      </c>
      <c r="G46" s="154">
        <f t="shared" ca="1" si="24"/>
        <v>-12500</v>
      </c>
      <c r="H46" s="154">
        <f t="shared" ca="1" si="24"/>
        <v>-15000</v>
      </c>
      <c r="I46" s="154">
        <f t="shared" ca="1" si="24"/>
        <v>-17500</v>
      </c>
      <c r="J46" s="154">
        <f t="shared" ca="1" si="24"/>
        <v>-20000</v>
      </c>
      <c r="K46" s="154">
        <f t="shared" ca="1" si="24"/>
        <v>-22500</v>
      </c>
      <c r="L46" s="149"/>
      <c r="M46" s="149"/>
    </row>
    <row r="47" spans="1:13" x14ac:dyDescent="0.2">
      <c r="A47" s="155" t="s">
        <v>41</v>
      </c>
      <c r="B47" s="161">
        <f>SUM(B45:B46)</f>
        <v>50000</v>
      </c>
      <c r="C47" s="161">
        <f t="shared" ref="C47:K47" ca="1" si="25">SUM(C45:C46)</f>
        <v>50000</v>
      </c>
      <c r="D47" s="161">
        <f ca="1">SUM(D45:D46)</f>
        <v>50000</v>
      </c>
      <c r="E47" s="161">
        <f t="shared" ca="1" si="25"/>
        <v>50000</v>
      </c>
      <c r="F47" s="161">
        <f t="shared" ca="1" si="25"/>
        <v>50000</v>
      </c>
      <c r="G47" s="161">
        <f t="shared" ca="1" si="25"/>
        <v>50000</v>
      </c>
      <c r="H47" s="161">
        <f t="shared" ca="1" si="25"/>
        <v>50000</v>
      </c>
      <c r="I47" s="161">
        <f t="shared" ca="1" si="25"/>
        <v>50000</v>
      </c>
      <c r="J47" s="161">
        <f t="shared" ca="1" si="25"/>
        <v>50000</v>
      </c>
      <c r="K47" s="161">
        <f t="shared" ca="1" si="25"/>
        <v>50000</v>
      </c>
      <c r="L47" s="149"/>
      <c r="M47" s="149"/>
    </row>
    <row r="48" spans="1:13" x14ac:dyDescent="0.2">
      <c r="A48" s="155" t="s">
        <v>42</v>
      </c>
      <c r="B48" s="55">
        <f>+B44+B47</f>
        <v>60490.138888888891</v>
      </c>
      <c r="C48" s="55">
        <f t="shared" ref="C48:K48" ca="1" si="26">+C44+C47</f>
        <v>57553.633709217051</v>
      </c>
      <c r="D48" s="55">
        <f t="shared" ca="1" si="26"/>
        <v>58285.224004299576</v>
      </c>
      <c r="E48" s="55">
        <f t="shared" ca="1" si="26"/>
        <v>59306.468809501574</v>
      </c>
      <c r="F48" s="55">
        <f t="shared" ca="1" si="26"/>
        <v>60619.022775199315</v>
      </c>
      <c r="G48" s="55">
        <f t="shared" ca="1" si="26"/>
        <v>62254.72840261634</v>
      </c>
      <c r="H48" s="55">
        <f t="shared" ca="1" si="26"/>
        <v>64248.707160224993</v>
      </c>
      <c r="I48" s="55">
        <f t="shared" ca="1" si="26"/>
        <v>66639.736340934774</v>
      </c>
      <c r="J48" s="55">
        <f t="shared" ca="1" si="26"/>
        <v>69470.625910859177</v>
      </c>
      <c r="K48" s="55">
        <f t="shared" ca="1" si="26"/>
        <v>72788.631266092823</v>
      </c>
      <c r="L48" s="149"/>
      <c r="M48" s="149"/>
    </row>
    <row r="49" spans="1:13" x14ac:dyDescent="0.2">
      <c r="A49" s="149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49"/>
      <c r="M49" s="149"/>
    </row>
    <row r="50" spans="1:13" x14ac:dyDescent="0.2">
      <c r="A50" s="171" t="s">
        <v>43</v>
      </c>
      <c r="B50" s="51"/>
      <c r="C50" s="62"/>
      <c r="D50" s="62"/>
      <c r="E50" s="62"/>
      <c r="F50" s="62"/>
      <c r="G50" s="51"/>
      <c r="H50" s="51"/>
      <c r="I50" s="51"/>
      <c r="J50" s="51"/>
      <c r="K50" s="51"/>
      <c r="L50" s="149"/>
      <c r="M50" s="149"/>
    </row>
    <row r="51" spans="1:13" x14ac:dyDescent="0.2">
      <c r="A51" s="172" t="s">
        <v>44</v>
      </c>
      <c r="B51" s="53">
        <f>+(B14/360)*B33</f>
        <v>2170.1388888888891</v>
      </c>
      <c r="C51" s="53">
        <f t="shared" ref="C51:K51" si="27">+(C14/360)*C33</f>
        <v>2311.6871624228397</v>
      </c>
      <c r="D51" s="53">
        <f t="shared" ca="1" si="27"/>
        <v>2535.4773071485251</v>
      </c>
      <c r="E51" s="53">
        <f t="shared" ca="1" si="27"/>
        <v>2789.2642266055659</v>
      </c>
      <c r="F51" s="53">
        <f t="shared" ca="1" si="27"/>
        <v>3068.5267680880806</v>
      </c>
      <c r="G51" s="53">
        <f t="shared" ca="1" si="27"/>
        <v>3376.0289264703902</v>
      </c>
      <c r="H51" s="53">
        <f t="shared" ca="1" si="27"/>
        <v>3714.6011594226616</v>
      </c>
      <c r="I51" s="53">
        <f t="shared" ca="1" si="27"/>
        <v>4087.3551549019821</v>
      </c>
      <c r="J51" s="53">
        <f t="shared" ca="1" si="27"/>
        <v>4497.7140134315669</v>
      </c>
      <c r="K51" s="53">
        <f t="shared" ca="1" si="27"/>
        <v>4949.4434044873078</v>
      </c>
      <c r="L51" s="149"/>
      <c r="M51" s="149"/>
    </row>
    <row r="52" spans="1:13" x14ac:dyDescent="0.2">
      <c r="A52" s="172" t="s">
        <v>140</v>
      </c>
      <c r="B52" s="53">
        <f>+B34*B18</f>
        <v>200</v>
      </c>
      <c r="C52" s="53">
        <f t="shared" ref="C52:K53" si="28">+C34*C18</f>
        <v>210</v>
      </c>
      <c r="D52" s="53">
        <f t="shared" si="28"/>
        <v>220.5</v>
      </c>
      <c r="E52" s="53">
        <f t="shared" si="28"/>
        <v>231.52500000000001</v>
      </c>
      <c r="F52" s="53">
        <f t="shared" si="28"/>
        <v>243.10125000000005</v>
      </c>
      <c r="G52" s="53">
        <f t="shared" si="28"/>
        <v>255.25631250000006</v>
      </c>
      <c r="H52" s="53">
        <f t="shared" si="28"/>
        <v>268.01912812500012</v>
      </c>
      <c r="I52" s="53">
        <f t="shared" si="28"/>
        <v>281.4200845312501</v>
      </c>
      <c r="J52" s="53">
        <f t="shared" si="28"/>
        <v>295.49108875781263</v>
      </c>
      <c r="K52" s="53">
        <f t="shared" si="28"/>
        <v>310.26564319570326</v>
      </c>
      <c r="L52" s="149"/>
      <c r="M52" s="149"/>
    </row>
    <row r="53" spans="1:13" x14ac:dyDescent="0.2">
      <c r="A53" s="172" t="s">
        <v>141</v>
      </c>
      <c r="B53" s="53">
        <f>+B35*B19</f>
        <v>120</v>
      </c>
      <c r="C53" s="53">
        <f t="shared" si="28"/>
        <v>129.6</v>
      </c>
      <c r="D53" s="53">
        <f t="shared" si="28"/>
        <v>139.96800000000002</v>
      </c>
      <c r="E53" s="53">
        <f t="shared" si="28"/>
        <v>151.16544000000002</v>
      </c>
      <c r="F53" s="53">
        <f t="shared" si="28"/>
        <v>163.25867520000003</v>
      </c>
      <c r="G53" s="53">
        <f t="shared" si="28"/>
        <v>176.31936921600004</v>
      </c>
      <c r="H53" s="53">
        <f t="shared" si="28"/>
        <v>190.42491875328005</v>
      </c>
      <c r="I53" s="53">
        <f t="shared" si="28"/>
        <v>205.65891225354247</v>
      </c>
      <c r="J53" s="53">
        <f t="shared" si="28"/>
        <v>222.11162523382589</v>
      </c>
      <c r="K53" s="53">
        <f t="shared" si="28"/>
        <v>239.88055525253196</v>
      </c>
      <c r="L53" s="149"/>
      <c r="M53" s="149"/>
    </row>
    <row r="54" spans="1:13" x14ac:dyDescent="0.2">
      <c r="A54" s="172" t="s">
        <v>45</v>
      </c>
      <c r="B54" s="53">
        <f>+B25</f>
        <v>2537.5</v>
      </c>
      <c r="C54" s="53">
        <f t="shared" ref="C54:K54" ca="1" si="29">+C25</f>
        <v>1222.4422361111119</v>
      </c>
      <c r="D54" s="53">
        <f t="shared" ca="1" si="29"/>
        <v>1587.6268945951624</v>
      </c>
      <c r="E54" s="53">
        <f t="shared" ca="1" si="29"/>
        <v>2003.3638621627749</v>
      </c>
      <c r="F54" s="53">
        <f t="shared" ca="1" si="29"/>
        <v>2463.971404471803</v>
      </c>
      <c r="G54" s="53">
        <f t="shared" ca="1" si="29"/>
        <v>2974.0168538137968</v>
      </c>
      <c r="H54" s="53">
        <f t="shared" ca="1" si="29"/>
        <v>3538.6152617715834</v>
      </c>
      <c r="I54" s="53">
        <f t="shared" ca="1" si="29"/>
        <v>4163.4033404748243</v>
      </c>
      <c r="J54" s="53">
        <f t="shared" ca="1" si="29"/>
        <v>4854.5924477119506</v>
      </c>
      <c r="K54" s="53">
        <f t="shared" ca="1" si="29"/>
        <v>5619.0267634759603</v>
      </c>
      <c r="L54" s="149"/>
      <c r="M54" s="149"/>
    </row>
    <row r="55" spans="1:13" x14ac:dyDescent="0.2">
      <c r="A55" s="172" t="s">
        <v>46</v>
      </c>
      <c r="B55" s="156"/>
      <c r="C55" s="154"/>
      <c r="D55" s="154"/>
      <c r="E55" s="154"/>
      <c r="F55" s="154"/>
      <c r="G55" s="156"/>
      <c r="H55" s="156"/>
      <c r="I55" s="156"/>
      <c r="J55" s="156"/>
      <c r="K55" s="156"/>
      <c r="L55" s="149"/>
      <c r="M55" s="149"/>
    </row>
    <row r="56" spans="1:13" x14ac:dyDescent="0.2">
      <c r="A56" s="173" t="s">
        <v>47</v>
      </c>
      <c r="B56" s="169">
        <f>SUM(B51:B55)</f>
        <v>5027.6388888888887</v>
      </c>
      <c r="C56" s="169">
        <f t="shared" ref="C56:K56" ca="1" si="30">SUM(C51:C55)</f>
        <v>3873.7293985339516</v>
      </c>
      <c r="D56" s="169">
        <f t="shared" ca="1" si="30"/>
        <v>4483.5722017436874</v>
      </c>
      <c r="E56" s="169">
        <f t="shared" ca="1" si="30"/>
        <v>5175.3185287683409</v>
      </c>
      <c r="F56" s="169">
        <f t="shared" ca="1" si="30"/>
        <v>5938.858097759884</v>
      </c>
      <c r="G56" s="169">
        <f t="shared" ca="1" si="30"/>
        <v>6781.6214620001874</v>
      </c>
      <c r="H56" s="169">
        <f t="shared" ca="1" si="30"/>
        <v>7711.660468072525</v>
      </c>
      <c r="I56" s="169">
        <f t="shared" ca="1" si="30"/>
        <v>8737.8374921615978</v>
      </c>
      <c r="J56" s="169">
        <f t="shared" ca="1" si="30"/>
        <v>9869.9091751351552</v>
      </c>
      <c r="K56" s="169">
        <f t="shared" ca="1" si="30"/>
        <v>11118.616366411503</v>
      </c>
      <c r="L56" s="149"/>
      <c r="M56" s="149"/>
    </row>
    <row r="57" spans="1:13" x14ac:dyDescent="0.2">
      <c r="A57" s="174" t="s">
        <v>48</v>
      </c>
      <c r="B57" s="222">
        <f>20000-B107</f>
        <v>20000</v>
      </c>
      <c r="C57" s="106">
        <f>+B57-C107</f>
        <v>18745.092102349769</v>
      </c>
      <c r="D57" s="106">
        <f t="shared" ref="D57:K57" si="31">+C57-D107</f>
        <v>17364.693414934514</v>
      </c>
      <c r="E57" s="106">
        <f t="shared" si="31"/>
        <v>15846.254858777733</v>
      </c>
      <c r="F57" s="106">
        <f t="shared" si="31"/>
        <v>14175.972447005273</v>
      </c>
      <c r="G57" s="106">
        <f t="shared" si="31"/>
        <v>12338.661794055568</v>
      </c>
      <c r="H57" s="106">
        <f t="shared" si="31"/>
        <v>10317.620075810893</v>
      </c>
      <c r="I57" s="106">
        <f t="shared" si="31"/>
        <v>8094.4741857417503</v>
      </c>
      <c r="J57" s="106">
        <f t="shared" si="31"/>
        <v>5649.0137066656935</v>
      </c>
      <c r="K57" s="106">
        <f t="shared" si="31"/>
        <v>2959.0071796820303</v>
      </c>
      <c r="L57" s="149"/>
      <c r="M57" s="170" t="s">
        <v>148</v>
      </c>
    </row>
    <row r="58" spans="1:13" x14ac:dyDescent="0.2">
      <c r="A58" s="173" t="s">
        <v>49</v>
      </c>
      <c r="B58" s="55">
        <f>+B56+B57</f>
        <v>25027.638888888891</v>
      </c>
      <c r="C58" s="55">
        <f t="shared" ref="C58:K58" ca="1" si="32">+C56+C57</f>
        <v>22618.821500883721</v>
      </c>
      <c r="D58" s="55">
        <f t="shared" ca="1" si="32"/>
        <v>21848.265616678204</v>
      </c>
      <c r="E58" s="55">
        <f t="shared" ca="1" si="32"/>
        <v>21021.573387546072</v>
      </c>
      <c r="F58" s="55">
        <f t="shared" ca="1" si="32"/>
        <v>20114.830544765158</v>
      </c>
      <c r="G58" s="55">
        <f t="shared" ca="1" si="32"/>
        <v>19120.283256055754</v>
      </c>
      <c r="H58" s="55">
        <f t="shared" ca="1" si="32"/>
        <v>18029.280543883418</v>
      </c>
      <c r="I58" s="55">
        <f t="shared" ca="1" si="32"/>
        <v>16832.311677903348</v>
      </c>
      <c r="J58" s="55">
        <f t="shared" ca="1" si="32"/>
        <v>15518.922881800849</v>
      </c>
      <c r="K58" s="55">
        <f t="shared" ca="1" si="32"/>
        <v>14077.623546093533</v>
      </c>
      <c r="L58" s="149"/>
      <c r="M58" s="149"/>
    </row>
    <row r="59" spans="1:13" x14ac:dyDescent="0.2">
      <c r="A59" s="149"/>
      <c r="B59" s="167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3" x14ac:dyDescent="0.2">
      <c r="A60" s="171" t="s">
        <v>50</v>
      </c>
      <c r="B60" s="51"/>
      <c r="C60" s="62"/>
      <c r="D60" s="62"/>
      <c r="E60" s="62"/>
      <c r="F60" s="62"/>
      <c r="G60" s="51"/>
      <c r="H60" s="51"/>
      <c r="I60" s="51"/>
      <c r="J60" s="51"/>
      <c r="K60" s="51"/>
      <c r="L60" s="149"/>
      <c r="M60" s="149"/>
    </row>
    <row r="61" spans="1:13" x14ac:dyDescent="0.2">
      <c r="A61" s="172" t="s">
        <v>51</v>
      </c>
      <c r="B61" s="52">
        <v>31000</v>
      </c>
      <c r="C61" s="52">
        <v>31000</v>
      </c>
      <c r="D61" s="52">
        <v>31000</v>
      </c>
      <c r="E61" s="52">
        <v>31000</v>
      </c>
      <c r="F61" s="52">
        <v>31000</v>
      </c>
      <c r="G61" s="52">
        <v>31000</v>
      </c>
      <c r="H61" s="52">
        <v>31000</v>
      </c>
      <c r="I61" s="52">
        <v>31000</v>
      </c>
      <c r="J61" s="52">
        <v>31000</v>
      </c>
      <c r="K61" s="52">
        <v>31000</v>
      </c>
      <c r="L61" s="149"/>
      <c r="M61" s="170" t="s">
        <v>147</v>
      </c>
    </row>
    <row r="62" spans="1:13" x14ac:dyDescent="0.2">
      <c r="A62" s="172" t="s">
        <v>52</v>
      </c>
      <c r="B62" s="156">
        <f>+B26</f>
        <v>4462.5</v>
      </c>
      <c r="C62" s="156">
        <f t="shared" ref="C62:K62" ca="1" si="33">+C26</f>
        <v>2149.8122083333346</v>
      </c>
      <c r="D62" s="156">
        <f t="shared" ca="1" si="33"/>
        <v>2792.0335042880442</v>
      </c>
      <c r="E62" s="156">
        <f t="shared" ca="1" si="33"/>
        <v>3523.1571369069488</v>
      </c>
      <c r="F62" s="156">
        <f t="shared" ca="1" si="33"/>
        <v>4333.1910906228268</v>
      </c>
      <c r="G62" s="156">
        <f t="shared" ca="1" si="33"/>
        <v>5230.1675705001253</v>
      </c>
      <c r="H62" s="156">
        <f t="shared" ca="1" si="33"/>
        <v>6223.0820120810604</v>
      </c>
      <c r="I62" s="156">
        <f t="shared" ca="1" si="33"/>
        <v>7321.8472539384857</v>
      </c>
      <c r="J62" s="156">
        <f t="shared" ca="1" si="33"/>
        <v>8537.386718389982</v>
      </c>
      <c r="K62" s="156">
        <f t="shared" ca="1" si="33"/>
        <v>9881.7367219749649</v>
      </c>
      <c r="L62" s="149"/>
      <c r="M62" s="149"/>
    </row>
    <row r="63" spans="1:13" x14ac:dyDescent="0.2">
      <c r="A63" s="172" t="s">
        <v>53</v>
      </c>
      <c r="B63" s="156">
        <v>0</v>
      </c>
      <c r="C63" s="154">
        <f>+B63+B28</f>
        <v>1785</v>
      </c>
      <c r="D63" s="154">
        <f t="shared" ref="D63:K63" ca="1" si="34">+C63+C28</f>
        <v>2644.924883333334</v>
      </c>
      <c r="E63" s="154">
        <f t="shared" ca="1" si="34"/>
        <v>3761.7382850485519</v>
      </c>
      <c r="F63" s="154">
        <f t="shared" ca="1" si="34"/>
        <v>5171.0011398113311</v>
      </c>
      <c r="G63" s="154">
        <f t="shared" ca="1" si="34"/>
        <v>6904.2775760604618</v>
      </c>
      <c r="H63" s="154">
        <f t="shared" ca="1" si="34"/>
        <v>8996.3446042605119</v>
      </c>
      <c r="I63" s="154">
        <f t="shared" ca="1" si="34"/>
        <v>11485.577409092937</v>
      </c>
      <c r="J63" s="154">
        <f t="shared" ca="1" si="34"/>
        <v>14414.316310668331</v>
      </c>
      <c r="K63" s="154">
        <f t="shared" ca="1" si="34"/>
        <v>17829.270998024323</v>
      </c>
      <c r="L63" s="149"/>
      <c r="M63" s="149"/>
    </row>
    <row r="64" spans="1:13" x14ac:dyDescent="0.2">
      <c r="A64" s="175" t="s">
        <v>54</v>
      </c>
      <c r="B64" s="169">
        <f>SUM(B61:B63)</f>
        <v>35462.5</v>
      </c>
      <c r="C64" s="169">
        <f t="shared" ref="C64:K64" ca="1" si="35">SUM(C61:C63)</f>
        <v>34934.812208333336</v>
      </c>
      <c r="D64" s="169">
        <f t="shared" ca="1" si="35"/>
        <v>36436.95838762138</v>
      </c>
      <c r="E64" s="169">
        <f t="shared" ca="1" si="35"/>
        <v>38284.895421955502</v>
      </c>
      <c r="F64" s="169">
        <f t="shared" ca="1" si="35"/>
        <v>40504.192230434157</v>
      </c>
      <c r="G64" s="169">
        <f t="shared" ca="1" si="35"/>
        <v>43134.445146560589</v>
      </c>
      <c r="H64" s="169">
        <f t="shared" ca="1" si="35"/>
        <v>46219.426616341574</v>
      </c>
      <c r="I64" s="169">
        <f t="shared" ca="1" si="35"/>
        <v>49807.424663031416</v>
      </c>
      <c r="J64" s="169">
        <f t="shared" ca="1" si="35"/>
        <v>53951.703029058321</v>
      </c>
      <c r="K64" s="169">
        <f t="shared" ca="1" si="35"/>
        <v>58711.007719999288</v>
      </c>
      <c r="L64" s="149"/>
      <c r="M64" s="149"/>
    </row>
    <row r="65" spans="1:13" x14ac:dyDescent="0.2">
      <c r="A65" s="176" t="s">
        <v>55</v>
      </c>
      <c r="B65" s="177">
        <f>+B58+B64</f>
        <v>60490.138888888891</v>
      </c>
      <c r="C65" s="177">
        <f t="shared" ref="C65:K65" ca="1" si="36">+C58+C64</f>
        <v>57553.633709217058</v>
      </c>
      <c r="D65" s="177">
        <f t="shared" ca="1" si="36"/>
        <v>58285.224004299584</v>
      </c>
      <c r="E65" s="177">
        <f t="shared" ca="1" si="36"/>
        <v>59306.468809501574</v>
      </c>
      <c r="F65" s="177">
        <f t="shared" ca="1" si="36"/>
        <v>60619.022775199315</v>
      </c>
      <c r="G65" s="177">
        <f t="shared" ca="1" si="36"/>
        <v>62254.72840261634</v>
      </c>
      <c r="H65" s="177">
        <f t="shared" ca="1" si="36"/>
        <v>64248.707160224993</v>
      </c>
      <c r="I65" s="177">
        <f t="shared" ca="1" si="36"/>
        <v>66639.73634093476</v>
      </c>
      <c r="J65" s="177">
        <f t="shared" ca="1" si="36"/>
        <v>69470.625910859177</v>
      </c>
      <c r="K65" s="177">
        <f t="shared" ca="1" si="36"/>
        <v>72788.631266092823</v>
      </c>
      <c r="L65" s="149"/>
      <c r="M65" s="149"/>
    </row>
    <row r="66" spans="1:13" x14ac:dyDescent="0.2">
      <c r="A66" s="178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49"/>
      <c r="M66" s="149"/>
    </row>
    <row r="67" spans="1:13" x14ac:dyDescent="0.2">
      <c r="A67" s="149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49"/>
      <c r="M67" s="149"/>
    </row>
    <row r="68" spans="1:13" x14ac:dyDescent="0.2">
      <c r="A68" s="246" t="s">
        <v>56</v>
      </c>
      <c r="B68" s="216" t="s">
        <v>185</v>
      </c>
      <c r="C68" s="238" t="s">
        <v>4</v>
      </c>
      <c r="D68" s="238"/>
      <c r="E68" s="238"/>
      <c r="F68" s="238"/>
      <c r="G68" s="238"/>
      <c r="H68" s="238"/>
      <c r="I68" s="238"/>
      <c r="J68" s="238"/>
      <c r="K68" s="239"/>
      <c r="L68" s="149"/>
      <c r="M68" s="149"/>
    </row>
    <row r="69" spans="1:13" x14ac:dyDescent="0.2">
      <c r="A69" s="247"/>
      <c r="B69" s="217">
        <v>2010</v>
      </c>
      <c r="C69" s="3">
        <v>2011</v>
      </c>
      <c r="D69" s="3">
        <v>2012</v>
      </c>
      <c r="E69" s="3">
        <v>2013</v>
      </c>
      <c r="F69" s="3">
        <v>2014</v>
      </c>
      <c r="G69" s="3">
        <v>2015</v>
      </c>
      <c r="H69" s="3">
        <v>2016</v>
      </c>
      <c r="I69" s="3">
        <v>2017</v>
      </c>
      <c r="J69" s="3">
        <v>2018</v>
      </c>
      <c r="K69" s="3">
        <v>2019</v>
      </c>
      <c r="L69" s="149"/>
      <c r="M69" s="149"/>
    </row>
    <row r="70" spans="1:13" x14ac:dyDescent="0.2">
      <c r="A70" s="180" t="s">
        <v>57</v>
      </c>
      <c r="B70" s="181">
        <f>+B137</f>
        <v>6531.8055555555547</v>
      </c>
      <c r="C70" s="181">
        <f t="shared" ref="C70:K70" ca="1" si="37">+C137</f>
        <v>3196.2011397726151</v>
      </c>
      <c r="D70" s="181">
        <f t="shared" ca="1" si="37"/>
        <v>3494.0425703963565</v>
      </c>
      <c r="E70" s="181">
        <f t="shared" ca="1" si="37"/>
        <v>4036.1801215497126</v>
      </c>
      <c r="F70" s="181">
        <f t="shared" ca="1" si="37"/>
        <v>4821.6088518052047</v>
      </c>
      <c r="G70" s="181">
        <f t="shared" ca="1" si="37"/>
        <v>5877.3821815237707</v>
      </c>
      <c r="H70" s="181">
        <f t="shared" ca="1" si="37"/>
        <v>7233.339510800889</v>
      </c>
      <c r="I70" s="181">
        <f t="shared" ca="1" si="37"/>
        <v>8922.4478170126931</v>
      </c>
      <c r="J70" s="181">
        <f t="shared" ca="1" si="37"/>
        <v>10981.12564736732</v>
      </c>
      <c r="K70" s="181">
        <f t="shared" ca="1" si="37"/>
        <v>13449.59775972747</v>
      </c>
      <c r="L70" s="149"/>
      <c r="M70" s="149"/>
    </row>
    <row r="71" spans="1:13" x14ac:dyDescent="0.2">
      <c r="A71" s="182" t="s">
        <v>58</v>
      </c>
      <c r="B71" s="183">
        <f>+(B44-B41)-(B56-B55)</f>
        <v>-1069.3055555555547</v>
      </c>
      <c r="C71" s="183">
        <f t="shared" ref="C71:K71" ca="1" si="38">+(C44-C41)-(C56-C55)</f>
        <v>483.70317091049355</v>
      </c>
      <c r="D71" s="183">
        <f t="shared" ca="1" si="38"/>
        <v>307.60923215953426</v>
      </c>
      <c r="E71" s="183">
        <f t="shared" ca="1" si="38"/>
        <v>94.97015918352372</v>
      </c>
      <c r="F71" s="183">
        <f t="shared" ca="1" si="38"/>
        <v>-141.4441743657726</v>
      </c>
      <c r="G71" s="183">
        <f t="shared" ca="1" si="38"/>
        <v>-404.27524090761563</v>
      </c>
      <c r="H71" s="183">
        <f t="shared" ca="1" si="38"/>
        <v>-696.29281864842505</v>
      </c>
      <c r="I71" s="183">
        <f t="shared" ca="1" si="38"/>
        <v>-1020.5489682395237</v>
      </c>
      <c r="J71" s="183">
        <f t="shared" ca="1" si="38"/>
        <v>-1380.4089116433097</v>
      </c>
      <c r="K71" s="183">
        <f t="shared" ca="1" si="38"/>
        <v>-1779.5828600461464</v>
      </c>
      <c r="L71" s="149"/>
      <c r="M71" s="149"/>
    </row>
    <row r="72" spans="1:13" x14ac:dyDescent="0.2">
      <c r="A72" s="182" t="s">
        <v>59</v>
      </c>
      <c r="B72" s="183">
        <f>+B47</f>
        <v>50000</v>
      </c>
      <c r="C72" s="183">
        <f t="shared" ref="C72:K72" ca="1" si="39">+C47</f>
        <v>50000</v>
      </c>
      <c r="D72" s="183">
        <f t="shared" ca="1" si="39"/>
        <v>50000</v>
      </c>
      <c r="E72" s="183">
        <f t="shared" ca="1" si="39"/>
        <v>50000</v>
      </c>
      <c r="F72" s="183">
        <f t="shared" ca="1" si="39"/>
        <v>50000</v>
      </c>
      <c r="G72" s="183">
        <f t="shared" ca="1" si="39"/>
        <v>50000</v>
      </c>
      <c r="H72" s="183">
        <f t="shared" ca="1" si="39"/>
        <v>50000</v>
      </c>
      <c r="I72" s="183">
        <f t="shared" ca="1" si="39"/>
        <v>50000</v>
      </c>
      <c r="J72" s="183">
        <f t="shared" ca="1" si="39"/>
        <v>50000</v>
      </c>
      <c r="K72" s="183">
        <f t="shared" ca="1" si="39"/>
        <v>50000</v>
      </c>
      <c r="L72" s="149"/>
      <c r="M72" s="149"/>
    </row>
    <row r="73" spans="1:13" x14ac:dyDescent="0.2">
      <c r="A73" s="184" t="s">
        <v>60</v>
      </c>
      <c r="B73" s="177">
        <f>SUM(B70:B72)</f>
        <v>55462.5</v>
      </c>
      <c r="C73" s="177">
        <f t="shared" ref="C73:K73" ca="1" si="40">SUM(C70:C72)</f>
        <v>53679.904310683109</v>
      </c>
      <c r="D73" s="177">
        <f t="shared" ca="1" si="40"/>
        <v>53801.651802555891</v>
      </c>
      <c r="E73" s="177">
        <f t="shared" ca="1" si="40"/>
        <v>54131.150280733236</v>
      </c>
      <c r="F73" s="177">
        <f t="shared" ca="1" si="40"/>
        <v>54680.164677439432</v>
      </c>
      <c r="G73" s="177">
        <f t="shared" ca="1" si="40"/>
        <v>55473.106940616155</v>
      </c>
      <c r="H73" s="177">
        <f t="shared" ca="1" si="40"/>
        <v>56537.046692152464</v>
      </c>
      <c r="I73" s="177">
        <f t="shared" ca="1" si="40"/>
        <v>57901.898848773169</v>
      </c>
      <c r="J73" s="177">
        <f t="shared" ca="1" si="40"/>
        <v>59600.716735724011</v>
      </c>
      <c r="K73" s="177">
        <f t="shared" ca="1" si="40"/>
        <v>61670.014899681322</v>
      </c>
      <c r="L73" s="149"/>
      <c r="M73" s="149"/>
    </row>
    <row r="74" spans="1:13" x14ac:dyDescent="0.2">
      <c r="A74" s="185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49"/>
      <c r="M74" s="149"/>
    </row>
    <row r="75" spans="1:13" x14ac:dyDescent="0.2">
      <c r="A75" s="180" t="s">
        <v>61</v>
      </c>
      <c r="B75" s="181">
        <f>+B55</f>
        <v>0</v>
      </c>
      <c r="C75" s="181">
        <f t="shared" ref="C75:K75" si="41">+C55</f>
        <v>0</v>
      </c>
      <c r="D75" s="181">
        <f t="shared" si="41"/>
        <v>0</v>
      </c>
      <c r="E75" s="181">
        <f t="shared" si="41"/>
        <v>0</v>
      </c>
      <c r="F75" s="181">
        <f t="shared" si="41"/>
        <v>0</v>
      </c>
      <c r="G75" s="181">
        <f t="shared" si="41"/>
        <v>0</v>
      </c>
      <c r="H75" s="181">
        <f t="shared" si="41"/>
        <v>0</v>
      </c>
      <c r="I75" s="181">
        <f t="shared" si="41"/>
        <v>0</v>
      </c>
      <c r="J75" s="181">
        <f t="shared" si="41"/>
        <v>0</v>
      </c>
      <c r="K75" s="181">
        <f t="shared" si="41"/>
        <v>0</v>
      </c>
      <c r="L75" s="149"/>
      <c r="M75" s="149"/>
    </row>
    <row r="76" spans="1:13" x14ac:dyDescent="0.2">
      <c r="A76" s="182" t="s">
        <v>62</v>
      </c>
      <c r="B76" s="183">
        <f>+B57</f>
        <v>20000</v>
      </c>
      <c r="C76" s="183">
        <f t="shared" ref="C76:K76" si="42">+C57</f>
        <v>18745.092102349769</v>
      </c>
      <c r="D76" s="183">
        <f t="shared" si="42"/>
        <v>17364.693414934514</v>
      </c>
      <c r="E76" s="183">
        <f t="shared" si="42"/>
        <v>15846.254858777733</v>
      </c>
      <c r="F76" s="183">
        <f t="shared" si="42"/>
        <v>14175.972447005273</v>
      </c>
      <c r="G76" s="183">
        <f t="shared" si="42"/>
        <v>12338.661794055568</v>
      </c>
      <c r="H76" s="183">
        <f t="shared" si="42"/>
        <v>10317.620075810893</v>
      </c>
      <c r="I76" s="183">
        <f t="shared" si="42"/>
        <v>8094.4741857417503</v>
      </c>
      <c r="J76" s="183">
        <f t="shared" si="42"/>
        <v>5649.0137066656935</v>
      </c>
      <c r="K76" s="183">
        <f t="shared" si="42"/>
        <v>2959.0071796820303</v>
      </c>
      <c r="L76" s="149"/>
      <c r="M76" s="186"/>
    </row>
    <row r="77" spans="1:13" x14ac:dyDescent="0.2">
      <c r="A77" s="182" t="s">
        <v>63</v>
      </c>
      <c r="B77" s="183">
        <f>+B64</f>
        <v>35462.5</v>
      </c>
      <c r="C77" s="183">
        <f t="shared" ref="C77:K77" ca="1" si="43">+C64</f>
        <v>34934.812208333336</v>
      </c>
      <c r="D77" s="183">
        <f t="shared" ca="1" si="43"/>
        <v>36436.95838762138</v>
      </c>
      <c r="E77" s="183">
        <f t="shared" ca="1" si="43"/>
        <v>38284.895421955502</v>
      </c>
      <c r="F77" s="183">
        <f t="shared" ca="1" si="43"/>
        <v>40504.192230434157</v>
      </c>
      <c r="G77" s="183">
        <f t="shared" ca="1" si="43"/>
        <v>43134.445146560589</v>
      </c>
      <c r="H77" s="183">
        <f t="shared" ca="1" si="43"/>
        <v>46219.426616341574</v>
      </c>
      <c r="I77" s="183">
        <f t="shared" ca="1" si="43"/>
        <v>49807.424663031416</v>
      </c>
      <c r="J77" s="183">
        <f t="shared" ca="1" si="43"/>
        <v>53951.703029058321</v>
      </c>
      <c r="K77" s="183">
        <f t="shared" ca="1" si="43"/>
        <v>58711.007719999288</v>
      </c>
      <c r="L77" s="149"/>
      <c r="M77" s="149"/>
    </row>
    <row r="78" spans="1:13" x14ac:dyDescent="0.2">
      <c r="A78" s="184" t="s">
        <v>64</v>
      </c>
      <c r="B78" s="177">
        <f>SUM(B75:B77)</f>
        <v>55462.5</v>
      </c>
      <c r="C78" s="177">
        <f t="shared" ref="C78:K78" ca="1" si="44">SUM(C75:C77)</f>
        <v>53679.904310683109</v>
      </c>
      <c r="D78" s="177">
        <f t="shared" ca="1" si="44"/>
        <v>53801.651802555891</v>
      </c>
      <c r="E78" s="177">
        <f t="shared" ca="1" si="44"/>
        <v>54131.150280733236</v>
      </c>
      <c r="F78" s="177">
        <f t="shared" ca="1" si="44"/>
        <v>54680.164677439432</v>
      </c>
      <c r="G78" s="177">
        <f t="shared" ca="1" si="44"/>
        <v>55473.106940616155</v>
      </c>
      <c r="H78" s="177">
        <f t="shared" ca="1" si="44"/>
        <v>56537.046692152464</v>
      </c>
      <c r="I78" s="177">
        <f t="shared" ca="1" si="44"/>
        <v>57901.898848773169</v>
      </c>
      <c r="J78" s="177">
        <f t="shared" ca="1" si="44"/>
        <v>59600.716735724011</v>
      </c>
      <c r="K78" s="177">
        <f t="shared" ca="1" si="44"/>
        <v>61670.014899681322</v>
      </c>
      <c r="L78" s="149"/>
      <c r="M78" s="149"/>
    </row>
    <row r="79" spans="1:13" x14ac:dyDescent="0.2">
      <c r="A79" s="149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49"/>
      <c r="M79" s="149"/>
    </row>
    <row r="80" spans="1:13" x14ac:dyDescent="0.2">
      <c r="A80" s="187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49"/>
      <c r="M80" s="149"/>
    </row>
    <row r="81" spans="1:13" x14ac:dyDescent="0.2">
      <c r="A81" s="246" t="s">
        <v>78</v>
      </c>
      <c r="B81" s="218" t="s">
        <v>185</v>
      </c>
      <c r="C81" s="228" t="s">
        <v>4</v>
      </c>
      <c r="D81" s="228"/>
      <c r="E81" s="228"/>
      <c r="F81" s="228"/>
      <c r="G81" s="228"/>
      <c r="H81" s="228"/>
      <c r="I81" s="228"/>
      <c r="J81" s="228"/>
      <c r="K81" s="229"/>
      <c r="L81" s="149"/>
      <c r="M81" s="149"/>
    </row>
    <row r="82" spans="1:13" x14ac:dyDescent="0.2">
      <c r="A82" s="247"/>
      <c r="B82" s="215">
        <v>2010</v>
      </c>
      <c r="C82" s="91">
        <v>2011</v>
      </c>
      <c r="D82" s="91">
        <v>2012</v>
      </c>
      <c r="E82" s="91">
        <v>2013</v>
      </c>
      <c r="F82" s="91">
        <v>2014</v>
      </c>
      <c r="G82" s="91">
        <v>2015</v>
      </c>
      <c r="H82" s="91">
        <v>2016</v>
      </c>
      <c r="I82" s="91">
        <v>2017</v>
      </c>
      <c r="J82" s="91">
        <v>2018</v>
      </c>
      <c r="K82" s="91">
        <v>2019</v>
      </c>
      <c r="L82" s="149"/>
      <c r="M82" s="149"/>
    </row>
    <row r="83" spans="1:13" x14ac:dyDescent="0.2">
      <c r="A83" s="176" t="s">
        <v>79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9"/>
      <c r="L83" s="149"/>
      <c r="M83" s="149"/>
    </row>
    <row r="84" spans="1:13" x14ac:dyDescent="0.2">
      <c r="A84" s="171" t="s">
        <v>80</v>
      </c>
      <c r="B84" s="51"/>
      <c r="C84" s="51"/>
      <c r="D84" s="51"/>
      <c r="E84" s="51"/>
      <c r="F84" s="51"/>
      <c r="G84" s="51"/>
      <c r="H84" s="51"/>
      <c r="I84" s="51"/>
      <c r="J84" s="51"/>
      <c r="K84" s="62"/>
      <c r="L84" s="149"/>
      <c r="M84" s="149"/>
    </row>
    <row r="85" spans="1:13" x14ac:dyDescent="0.2">
      <c r="A85" s="172" t="s">
        <v>81</v>
      </c>
      <c r="B85" s="92">
        <f>+B10-B42</f>
        <v>22916.666666666668</v>
      </c>
      <c r="C85" s="117">
        <f>+B42+C10-C42</f>
        <v>27291.666666666668</v>
      </c>
      <c r="D85" s="117">
        <f t="shared" ref="D85:K85" si="45">+C42+D10-D42</f>
        <v>30020.833333333343</v>
      </c>
      <c r="E85" s="117">
        <f t="shared" si="45"/>
        <v>33022.916666666679</v>
      </c>
      <c r="F85" s="117">
        <f t="shared" si="45"/>
        <v>36325.208333333343</v>
      </c>
      <c r="G85" s="117">
        <f t="shared" si="45"/>
        <v>39957.729166666686</v>
      </c>
      <c r="H85" s="117">
        <f t="shared" si="45"/>
        <v>43953.502083333369</v>
      </c>
      <c r="I85" s="117">
        <f t="shared" si="45"/>
        <v>48348.852291666699</v>
      </c>
      <c r="J85" s="117">
        <f t="shared" si="45"/>
        <v>53183.737520833376</v>
      </c>
      <c r="K85" s="117">
        <f t="shared" si="45"/>
        <v>58502.111272916714</v>
      </c>
      <c r="L85" s="149"/>
      <c r="M85" s="149"/>
    </row>
    <row r="86" spans="1:13" x14ac:dyDescent="0.2">
      <c r="A86" s="172" t="s">
        <v>82</v>
      </c>
      <c r="B86" s="156">
        <f>+B11</f>
        <v>0</v>
      </c>
      <c r="C86" s="156">
        <f t="shared" ref="C86:K86" si="46">+C11</f>
        <v>130.63611111111109</v>
      </c>
      <c r="D86" s="156">
        <f t="shared" ca="1" si="46"/>
        <v>63.924022795452096</v>
      </c>
      <c r="E86" s="156">
        <f t="shared" ca="1" si="46"/>
        <v>69.880851407927125</v>
      </c>
      <c r="F86" s="156">
        <f t="shared" ca="1" si="46"/>
        <v>80.723602430994177</v>
      </c>
      <c r="G86" s="156">
        <f t="shared" ca="1" si="46"/>
        <v>96.432177036104079</v>
      </c>
      <c r="H86" s="156">
        <f t="shared" ca="1" si="46"/>
        <v>117.54764363047539</v>
      </c>
      <c r="I86" s="156">
        <f t="shared" ca="1" si="46"/>
        <v>144.66679021601792</v>
      </c>
      <c r="J86" s="156">
        <f t="shared" ca="1" si="46"/>
        <v>178.448956340254</v>
      </c>
      <c r="K86" s="156">
        <f t="shared" ca="1" si="46"/>
        <v>219.62251294734648</v>
      </c>
      <c r="L86" s="149"/>
      <c r="M86" s="149"/>
    </row>
    <row r="87" spans="1:13" x14ac:dyDescent="0.2">
      <c r="A87" s="173" t="s">
        <v>83</v>
      </c>
      <c r="B87" s="160">
        <f>SUM(B85:B86)</f>
        <v>22916.666666666668</v>
      </c>
      <c r="C87" s="160">
        <f t="shared" ref="C87:K87" si="47">SUM(C85:C86)</f>
        <v>27422.302777777779</v>
      </c>
      <c r="D87" s="160">
        <f t="shared" ca="1" si="47"/>
        <v>30084.757356128794</v>
      </c>
      <c r="E87" s="160">
        <f t="shared" ca="1" si="47"/>
        <v>33092.797518074607</v>
      </c>
      <c r="F87" s="160">
        <f t="shared" ca="1" si="47"/>
        <v>36405.93193576434</v>
      </c>
      <c r="G87" s="160">
        <f t="shared" ca="1" si="47"/>
        <v>40054.161343702792</v>
      </c>
      <c r="H87" s="160">
        <f t="shared" ca="1" si="47"/>
        <v>44071.049726963844</v>
      </c>
      <c r="I87" s="160">
        <f t="shared" ca="1" si="47"/>
        <v>48493.519081882718</v>
      </c>
      <c r="J87" s="160">
        <f t="shared" ca="1" si="47"/>
        <v>53362.186477173629</v>
      </c>
      <c r="K87" s="160">
        <f t="shared" ca="1" si="47"/>
        <v>58721.73378586406</v>
      </c>
      <c r="L87" s="149"/>
      <c r="M87" s="149"/>
    </row>
    <row r="88" spans="1:13" x14ac:dyDescent="0.2">
      <c r="A88" s="171" t="s">
        <v>84</v>
      </c>
      <c r="B88" s="51"/>
      <c r="C88" s="62"/>
      <c r="D88" s="62"/>
      <c r="E88" s="62"/>
      <c r="F88" s="62"/>
      <c r="G88" s="51"/>
      <c r="H88" s="51"/>
      <c r="I88" s="51"/>
      <c r="J88" s="51"/>
      <c r="K88" s="62"/>
      <c r="L88" s="149"/>
      <c r="M88" s="149"/>
    </row>
    <row r="89" spans="1:13" x14ac:dyDescent="0.2">
      <c r="A89" s="172" t="s">
        <v>85</v>
      </c>
      <c r="B89" s="92">
        <f>+B14-B51</f>
        <v>13454.861111111111</v>
      </c>
      <c r="C89" s="117">
        <f>+B51+C14-C51</f>
        <v>16502.599295910495</v>
      </c>
      <c r="D89" s="117">
        <f t="shared" ref="D89:K89" ca="1" si="48">+C51+D14-D51</f>
        <v>18031.646466743696</v>
      </c>
      <c r="E89" s="117">
        <f t="shared" ca="1" si="48"/>
        <v>19828.915512103034</v>
      </c>
      <c r="F89" s="117">
        <f t="shared" ca="1" si="48"/>
        <v>21814.130188751667</v>
      </c>
      <c r="G89" s="117">
        <f t="shared" ca="1" si="48"/>
        <v>23999.906112204495</v>
      </c>
      <c r="H89" s="117">
        <f t="shared" ca="1" si="48"/>
        <v>26406.556114890889</v>
      </c>
      <c r="I89" s="117">
        <f t="shared" ca="1" si="48"/>
        <v>29056.203119814949</v>
      </c>
      <c r="J89" s="117">
        <f t="shared" ca="1" si="48"/>
        <v>31973.182038177696</v>
      </c>
      <c r="K89" s="117">
        <f t="shared" ca="1" si="48"/>
        <v>35184.26312125288</v>
      </c>
      <c r="L89" s="149"/>
      <c r="M89" s="149"/>
    </row>
    <row r="90" spans="1:13" x14ac:dyDescent="0.2">
      <c r="A90" s="172" t="s">
        <v>142</v>
      </c>
      <c r="B90" s="92">
        <f>+B18-B52</f>
        <v>1800</v>
      </c>
      <c r="C90" s="117">
        <f>+B52+C18-C52</f>
        <v>2090</v>
      </c>
      <c r="D90" s="117">
        <f t="shared" ref="D90:K91" si="49">+C52+D18-D52</f>
        <v>2194.5</v>
      </c>
      <c r="E90" s="117">
        <f t="shared" si="49"/>
        <v>2304.2249999999999</v>
      </c>
      <c r="F90" s="117">
        <f t="shared" si="49"/>
        <v>2419.4362500000002</v>
      </c>
      <c r="G90" s="117">
        <f t="shared" si="49"/>
        <v>2540.4080625000006</v>
      </c>
      <c r="H90" s="117">
        <f t="shared" si="49"/>
        <v>2667.4284656250011</v>
      </c>
      <c r="I90" s="117">
        <f t="shared" si="49"/>
        <v>2800.7998889062505</v>
      </c>
      <c r="J90" s="117">
        <f t="shared" si="49"/>
        <v>2940.8398833515639</v>
      </c>
      <c r="K90" s="117">
        <f t="shared" si="49"/>
        <v>3087.8818775191417</v>
      </c>
      <c r="L90" s="149"/>
      <c r="M90" s="149"/>
    </row>
    <row r="91" spans="1:13" x14ac:dyDescent="0.2">
      <c r="A91" s="172" t="s">
        <v>143</v>
      </c>
      <c r="B91" s="92">
        <f>+B19-B53</f>
        <v>880</v>
      </c>
      <c r="C91" s="117">
        <f>+B53+C19-C53</f>
        <v>1070.4000000000001</v>
      </c>
      <c r="D91" s="117">
        <f t="shared" si="49"/>
        <v>1156.0319999999999</v>
      </c>
      <c r="E91" s="117">
        <f t="shared" si="49"/>
        <v>1248.5145600000003</v>
      </c>
      <c r="F91" s="117">
        <f t="shared" si="49"/>
        <v>1348.3957248000004</v>
      </c>
      <c r="G91" s="117">
        <f t="shared" si="49"/>
        <v>1456.2673827840003</v>
      </c>
      <c r="H91" s="117">
        <f t="shared" si="49"/>
        <v>1572.7687734067206</v>
      </c>
      <c r="I91" s="117">
        <f t="shared" si="49"/>
        <v>1698.5902752792583</v>
      </c>
      <c r="J91" s="117">
        <f t="shared" si="49"/>
        <v>1834.477497301599</v>
      </c>
      <c r="K91" s="117">
        <f t="shared" si="49"/>
        <v>1981.2356970857272</v>
      </c>
      <c r="L91" s="149"/>
      <c r="M91" s="149"/>
    </row>
    <row r="92" spans="1:13" x14ac:dyDescent="0.2">
      <c r="A92" s="172" t="s">
        <v>144</v>
      </c>
      <c r="B92" s="92">
        <f>+B25-B54</f>
        <v>0</v>
      </c>
      <c r="C92" s="117">
        <f ca="1">+B54+C25-C54</f>
        <v>2537.5</v>
      </c>
      <c r="D92" s="117">
        <f t="shared" ref="D92:K92" ca="1" si="50">+C54+D25-D54</f>
        <v>1222.4422361111119</v>
      </c>
      <c r="E92" s="117">
        <f t="shared" ca="1" si="50"/>
        <v>1587.6268945951626</v>
      </c>
      <c r="F92" s="117">
        <f t="shared" ca="1" si="50"/>
        <v>2003.3638621627751</v>
      </c>
      <c r="G92" s="117">
        <f t="shared" ca="1" si="50"/>
        <v>2463.971404471803</v>
      </c>
      <c r="H92" s="117">
        <f t="shared" ca="1" si="50"/>
        <v>2974.0168538137968</v>
      </c>
      <c r="I92" s="117">
        <f t="shared" ca="1" si="50"/>
        <v>3538.6152617715834</v>
      </c>
      <c r="J92" s="117">
        <f t="shared" ca="1" si="50"/>
        <v>4163.4033404748234</v>
      </c>
      <c r="K92" s="117">
        <f t="shared" ca="1" si="50"/>
        <v>4854.5924477119497</v>
      </c>
      <c r="L92" s="149"/>
      <c r="M92" s="149"/>
    </row>
    <row r="93" spans="1:13" x14ac:dyDescent="0.2">
      <c r="A93" s="173" t="s">
        <v>86</v>
      </c>
      <c r="B93" s="50">
        <f>SUM(B89:B92)</f>
        <v>16134.861111111111</v>
      </c>
      <c r="C93" s="50">
        <f t="shared" ref="C93:K93" ca="1" si="51">SUM(C89:C92)</f>
        <v>22200.499295910497</v>
      </c>
      <c r="D93" s="50">
        <f t="shared" ca="1" si="51"/>
        <v>22604.620702854809</v>
      </c>
      <c r="E93" s="50">
        <f t="shared" ca="1" si="51"/>
        <v>24969.281966698196</v>
      </c>
      <c r="F93" s="50">
        <f t="shared" ca="1" si="51"/>
        <v>27585.326025714443</v>
      </c>
      <c r="G93" s="50">
        <f t="shared" ca="1" si="51"/>
        <v>30460.552961960297</v>
      </c>
      <c r="H93" s="50">
        <f t="shared" ca="1" si="51"/>
        <v>33620.770207736408</v>
      </c>
      <c r="I93" s="50">
        <f t="shared" ca="1" si="51"/>
        <v>37094.208545772046</v>
      </c>
      <c r="J93" s="50">
        <f t="shared" ca="1" si="51"/>
        <v>40911.902759305682</v>
      </c>
      <c r="K93" s="50">
        <f t="shared" ca="1" si="51"/>
        <v>45107.973143569696</v>
      </c>
      <c r="L93" s="149"/>
      <c r="M93" s="149"/>
    </row>
    <row r="94" spans="1:13" x14ac:dyDescent="0.2">
      <c r="A94" s="171" t="s">
        <v>87</v>
      </c>
      <c r="B94" s="51">
        <f>+B87-B93</f>
        <v>6781.8055555555566</v>
      </c>
      <c r="C94" s="51">
        <f t="shared" ref="C94:K94" ca="1" si="52">+C87-C93</f>
        <v>5221.8034818672822</v>
      </c>
      <c r="D94" s="51">
        <f t="shared" ca="1" si="52"/>
        <v>7480.1366532739848</v>
      </c>
      <c r="E94" s="51">
        <f t="shared" ca="1" si="52"/>
        <v>8123.5155513764112</v>
      </c>
      <c r="F94" s="51">
        <f t="shared" ca="1" si="52"/>
        <v>8820.6059100498969</v>
      </c>
      <c r="G94" s="51">
        <f t="shared" ca="1" si="52"/>
        <v>9593.6083817424951</v>
      </c>
      <c r="H94" s="51">
        <f t="shared" ca="1" si="52"/>
        <v>10450.279519227435</v>
      </c>
      <c r="I94" s="51">
        <f t="shared" ca="1" si="52"/>
        <v>11399.310536110672</v>
      </c>
      <c r="J94" s="51">
        <f t="shared" ca="1" si="52"/>
        <v>12450.283717867947</v>
      </c>
      <c r="K94" s="51">
        <f t="shared" ca="1" si="52"/>
        <v>13613.760642294365</v>
      </c>
      <c r="L94" s="149"/>
      <c r="M94" s="149"/>
    </row>
    <row r="95" spans="1:13" x14ac:dyDescent="0.2">
      <c r="A95" s="172" t="s">
        <v>88</v>
      </c>
      <c r="B95" s="223">
        <v>-1250</v>
      </c>
      <c r="C95" s="117">
        <f>+B40-C40</f>
        <v>-125.00000000000023</v>
      </c>
      <c r="D95" s="117">
        <f t="shared" ref="D95:K95" si="53">+C40-D40</f>
        <v>-137.50000000000023</v>
      </c>
      <c r="E95" s="117">
        <f t="shared" si="53"/>
        <v>-151.25</v>
      </c>
      <c r="F95" s="117">
        <f t="shared" si="53"/>
        <v>-166.37500000000045</v>
      </c>
      <c r="G95" s="117">
        <f t="shared" si="53"/>
        <v>-183.01250000000027</v>
      </c>
      <c r="H95" s="117">
        <f t="shared" si="53"/>
        <v>-201.31375000000025</v>
      </c>
      <c r="I95" s="117">
        <f t="shared" si="53"/>
        <v>-221.44512500000019</v>
      </c>
      <c r="J95" s="117">
        <f t="shared" si="53"/>
        <v>-243.58963750000066</v>
      </c>
      <c r="K95" s="117">
        <f t="shared" si="53"/>
        <v>-267.94860125000059</v>
      </c>
      <c r="L95" s="149"/>
      <c r="M95" s="149"/>
    </row>
    <row r="96" spans="1:13" x14ac:dyDescent="0.2">
      <c r="A96" s="173" t="s">
        <v>89</v>
      </c>
      <c r="B96" s="50">
        <f>SUM(B94:B95)</f>
        <v>5531.8055555555566</v>
      </c>
      <c r="C96" s="50">
        <f t="shared" ref="C96:K96" ca="1" si="54">SUM(C94:C95)</f>
        <v>5096.8034818672822</v>
      </c>
      <c r="D96" s="50">
        <f t="shared" ca="1" si="54"/>
        <v>7342.6366532739848</v>
      </c>
      <c r="E96" s="50">
        <f t="shared" ca="1" si="54"/>
        <v>7972.2655513764112</v>
      </c>
      <c r="F96" s="50">
        <f t="shared" ca="1" si="54"/>
        <v>8654.2309100498969</v>
      </c>
      <c r="G96" s="50">
        <f t="shared" ca="1" si="54"/>
        <v>9410.5958817424944</v>
      </c>
      <c r="H96" s="50">
        <f t="shared" ca="1" si="54"/>
        <v>10248.965769227434</v>
      </c>
      <c r="I96" s="50">
        <f t="shared" ca="1" si="54"/>
        <v>11177.865411110672</v>
      </c>
      <c r="J96" s="50">
        <f t="shared" ca="1" si="54"/>
        <v>12206.694080367946</v>
      </c>
      <c r="K96" s="50">
        <f t="shared" ca="1" si="54"/>
        <v>13345.812041044364</v>
      </c>
      <c r="L96" s="149"/>
      <c r="M96" s="149"/>
    </row>
    <row r="97" spans="1:13" x14ac:dyDescent="0.2">
      <c r="A97" s="149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49"/>
      <c r="M97" s="149"/>
    </row>
    <row r="98" spans="1:13" x14ac:dyDescent="0.2">
      <c r="A98" s="176" t="s">
        <v>90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63"/>
      <c r="L98" s="149"/>
      <c r="M98" s="149"/>
    </row>
    <row r="99" spans="1:13" x14ac:dyDescent="0.2">
      <c r="A99" s="172" t="s">
        <v>91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54"/>
      <c r="L99" s="149"/>
      <c r="M99" s="149"/>
    </row>
    <row r="100" spans="1:13" x14ac:dyDescent="0.2">
      <c r="A100" s="172" t="s">
        <v>92</v>
      </c>
      <c r="B100" s="92">
        <v>50000</v>
      </c>
      <c r="C100" s="92">
        <f t="shared" ref="C100:K100" ca="1" si="55">+C21</f>
        <v>2500</v>
      </c>
      <c r="D100" s="92">
        <f t="shared" ca="1" si="55"/>
        <v>2500</v>
      </c>
      <c r="E100" s="92">
        <f t="shared" ca="1" si="55"/>
        <v>2500</v>
      </c>
      <c r="F100" s="92">
        <f t="shared" ca="1" si="55"/>
        <v>2500</v>
      </c>
      <c r="G100" s="92">
        <f t="shared" ca="1" si="55"/>
        <v>2500</v>
      </c>
      <c r="H100" s="92">
        <f t="shared" ca="1" si="55"/>
        <v>2500</v>
      </c>
      <c r="I100" s="92">
        <f ca="1">+I21</f>
        <v>2500</v>
      </c>
      <c r="J100" s="92">
        <f t="shared" ca="1" si="55"/>
        <v>2500</v>
      </c>
      <c r="K100" s="92">
        <f t="shared" ca="1" si="55"/>
        <v>2500</v>
      </c>
      <c r="L100" s="149"/>
      <c r="M100" s="149"/>
    </row>
    <row r="101" spans="1:13" x14ac:dyDescent="0.2">
      <c r="A101" s="175" t="s">
        <v>93</v>
      </c>
      <c r="B101" s="48">
        <f>+B99-B100</f>
        <v>-50000</v>
      </c>
      <c r="C101" s="48">
        <f t="shared" ref="C101:K101" ca="1" si="56">+C99-C100</f>
        <v>-2500</v>
      </c>
      <c r="D101" s="48">
        <f t="shared" ca="1" si="56"/>
        <v>-2500</v>
      </c>
      <c r="E101" s="48">
        <f t="shared" ca="1" si="56"/>
        <v>-2500</v>
      </c>
      <c r="F101" s="48">
        <f t="shared" ca="1" si="56"/>
        <v>-2500</v>
      </c>
      <c r="G101" s="48">
        <f t="shared" ca="1" si="56"/>
        <v>-2500</v>
      </c>
      <c r="H101" s="48">
        <f t="shared" ca="1" si="56"/>
        <v>-2500</v>
      </c>
      <c r="I101" s="48">
        <f t="shared" ca="1" si="56"/>
        <v>-2500</v>
      </c>
      <c r="J101" s="48">
        <f t="shared" ca="1" si="56"/>
        <v>-2500</v>
      </c>
      <c r="K101" s="48">
        <f t="shared" ca="1" si="56"/>
        <v>-2500</v>
      </c>
      <c r="L101" s="149"/>
      <c r="M101" s="149"/>
    </row>
    <row r="102" spans="1:13" x14ac:dyDescent="0.2">
      <c r="A102" s="176" t="s">
        <v>94</v>
      </c>
      <c r="B102" s="67">
        <f>+B96+B101</f>
        <v>-44468.194444444445</v>
      </c>
      <c r="C102" s="67">
        <f t="shared" ref="C102:K102" ca="1" si="57">+C96+C101</f>
        <v>2596.8034818672822</v>
      </c>
      <c r="D102" s="67">
        <f t="shared" ca="1" si="57"/>
        <v>4842.6366532739848</v>
      </c>
      <c r="E102" s="67">
        <f t="shared" ca="1" si="57"/>
        <v>5472.2655513764112</v>
      </c>
      <c r="F102" s="67">
        <f t="shared" ca="1" si="57"/>
        <v>6154.2309100498969</v>
      </c>
      <c r="G102" s="67">
        <f t="shared" ca="1" si="57"/>
        <v>6910.5958817424944</v>
      </c>
      <c r="H102" s="67">
        <f t="shared" ca="1" si="57"/>
        <v>7748.9657692274341</v>
      </c>
      <c r="I102" s="67">
        <f t="shared" ca="1" si="57"/>
        <v>8677.8654111106716</v>
      </c>
      <c r="J102" s="67">
        <f t="shared" ca="1" si="57"/>
        <v>9706.6940803679463</v>
      </c>
      <c r="K102" s="67">
        <f t="shared" ca="1" si="57"/>
        <v>10845.812041044364</v>
      </c>
      <c r="L102" s="149"/>
      <c r="M102" s="149"/>
    </row>
    <row r="103" spans="1:13" x14ac:dyDescent="0.2">
      <c r="A103" s="149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49"/>
      <c r="M103" s="149"/>
    </row>
    <row r="104" spans="1:13" x14ac:dyDescent="0.2">
      <c r="A104" s="176" t="s">
        <v>95</v>
      </c>
      <c r="B104" s="192"/>
      <c r="C104" s="192">
        <v>1</v>
      </c>
      <c r="D104" s="192">
        <v>2</v>
      </c>
      <c r="E104" s="192">
        <v>3</v>
      </c>
      <c r="F104" s="192">
        <v>4</v>
      </c>
      <c r="G104" s="192">
        <v>5</v>
      </c>
      <c r="H104" s="192">
        <v>6</v>
      </c>
      <c r="I104" s="192">
        <v>7</v>
      </c>
      <c r="J104" s="192">
        <v>8</v>
      </c>
      <c r="K104" s="192">
        <v>9</v>
      </c>
      <c r="L104" s="149"/>
      <c r="M104" s="149"/>
    </row>
    <row r="105" spans="1:13" x14ac:dyDescent="0.2">
      <c r="A105" s="171" t="s">
        <v>43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52"/>
      <c r="L105" s="149"/>
      <c r="M105" s="149"/>
    </row>
    <row r="106" spans="1:13" x14ac:dyDescent="0.2">
      <c r="A106" s="172" t="s">
        <v>96</v>
      </c>
      <c r="B106" s="223">
        <v>20000</v>
      </c>
      <c r="C106" s="156"/>
      <c r="D106" s="156"/>
      <c r="E106" s="156"/>
      <c r="F106" s="156"/>
      <c r="G106" s="156"/>
      <c r="H106" s="156"/>
      <c r="I106" s="156"/>
      <c r="J106" s="156"/>
      <c r="K106" s="154"/>
      <c r="L106" s="149"/>
      <c r="M106" s="149"/>
    </row>
    <row r="107" spans="1:13" x14ac:dyDescent="0.2">
      <c r="A107" s="172" t="s">
        <v>97</v>
      </c>
      <c r="B107" s="219"/>
      <c r="C107" s="117">
        <f t="shared" ref="C107:K107" si="58">+PPMT(10%,C104,10,-20000)</f>
        <v>1254.9078976502324</v>
      </c>
      <c r="D107" s="117">
        <f t="shared" si="58"/>
        <v>1380.3986874152556</v>
      </c>
      <c r="E107" s="117">
        <f t="shared" si="58"/>
        <v>1518.438556156781</v>
      </c>
      <c r="F107" s="117">
        <f t="shared" si="58"/>
        <v>1670.2824117724592</v>
      </c>
      <c r="G107" s="117">
        <f t="shared" si="58"/>
        <v>1837.3106529497052</v>
      </c>
      <c r="H107" s="117">
        <f t="shared" si="58"/>
        <v>2021.0417182446754</v>
      </c>
      <c r="I107" s="117">
        <f t="shared" si="58"/>
        <v>2223.1458900691432</v>
      </c>
      <c r="J107" s="117">
        <f t="shared" si="58"/>
        <v>2445.4604790760573</v>
      </c>
      <c r="K107" s="117">
        <f t="shared" si="58"/>
        <v>2690.0065269836632</v>
      </c>
      <c r="L107" s="149"/>
      <c r="M107" s="149"/>
    </row>
    <row r="108" spans="1:13" x14ac:dyDescent="0.2">
      <c r="A108" s="172" t="s">
        <v>98</v>
      </c>
      <c r="B108" s="156">
        <f>+B23</f>
        <v>0</v>
      </c>
      <c r="C108" s="156">
        <f t="shared" ref="C108:K108" si="59">+C23</f>
        <v>2000</v>
      </c>
      <c r="D108" s="156">
        <f t="shared" si="59"/>
        <v>1874.509210234977</v>
      </c>
      <c r="E108" s="156">
        <f t="shared" si="59"/>
        <v>1736.4693414934516</v>
      </c>
      <c r="F108" s="156">
        <f t="shared" si="59"/>
        <v>1584.6254858777734</v>
      </c>
      <c r="G108" s="156">
        <f t="shared" si="59"/>
        <v>1417.5972447005274</v>
      </c>
      <c r="H108" s="156">
        <f t="shared" si="59"/>
        <v>1233.866179405557</v>
      </c>
      <c r="I108" s="156">
        <f t="shared" si="59"/>
        <v>1031.7620075810894</v>
      </c>
      <c r="J108" s="156">
        <f t="shared" si="59"/>
        <v>809.44741857417512</v>
      </c>
      <c r="K108" s="156">
        <f t="shared" si="59"/>
        <v>564.90137066656939</v>
      </c>
      <c r="L108" s="149"/>
      <c r="M108" s="149"/>
    </row>
    <row r="109" spans="1:13" x14ac:dyDescent="0.2">
      <c r="A109" s="173" t="s">
        <v>99</v>
      </c>
      <c r="B109" s="160">
        <f>-B106</f>
        <v>-20000</v>
      </c>
      <c r="C109" s="160">
        <f t="shared" ref="C109:K109" si="60">SUM(C107:C108)</f>
        <v>3254.9078976502324</v>
      </c>
      <c r="D109" s="160">
        <f t="shared" si="60"/>
        <v>3254.9078976502324</v>
      </c>
      <c r="E109" s="160">
        <f t="shared" si="60"/>
        <v>3254.9078976502324</v>
      </c>
      <c r="F109" s="160">
        <f t="shared" si="60"/>
        <v>3254.9078976502324</v>
      </c>
      <c r="G109" s="160">
        <f t="shared" si="60"/>
        <v>3254.9078976502324</v>
      </c>
      <c r="H109" s="160">
        <f t="shared" si="60"/>
        <v>3254.9078976502324</v>
      </c>
      <c r="I109" s="160">
        <f t="shared" si="60"/>
        <v>3254.9078976502324</v>
      </c>
      <c r="J109" s="160">
        <f t="shared" si="60"/>
        <v>3254.9078976502324</v>
      </c>
      <c r="K109" s="160">
        <f t="shared" si="60"/>
        <v>3254.9078976502324</v>
      </c>
      <c r="L109" s="149"/>
      <c r="M109" s="149"/>
    </row>
    <row r="110" spans="1:13" x14ac:dyDescent="0.2">
      <c r="A110" s="175" t="s">
        <v>50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4"/>
      <c r="L110" s="149"/>
      <c r="M110" s="149"/>
    </row>
    <row r="111" spans="1:13" x14ac:dyDescent="0.2">
      <c r="A111" s="172" t="s">
        <v>100</v>
      </c>
      <c r="B111" s="223">
        <v>31000</v>
      </c>
      <c r="C111" s="156"/>
      <c r="D111" s="156"/>
      <c r="E111" s="156"/>
      <c r="F111" s="156"/>
      <c r="G111" s="156"/>
      <c r="H111" s="156"/>
      <c r="I111" s="156"/>
      <c r="J111" s="156"/>
      <c r="K111" s="154"/>
      <c r="L111" s="149"/>
      <c r="M111" s="149"/>
    </row>
    <row r="112" spans="1:13" x14ac:dyDescent="0.2">
      <c r="A112" s="172" t="s">
        <v>101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4"/>
      <c r="L112" s="149"/>
      <c r="M112" s="149"/>
    </row>
    <row r="113" spans="1:13" x14ac:dyDescent="0.2">
      <c r="A113" s="172" t="s">
        <v>102</v>
      </c>
      <c r="B113" s="156">
        <v>0</v>
      </c>
      <c r="C113" s="154">
        <f>+B27</f>
        <v>2677.5</v>
      </c>
      <c r="D113" s="154">
        <f t="shared" ref="D113:K113" ca="1" si="61">+C27</f>
        <v>1289.8873250000008</v>
      </c>
      <c r="E113" s="154">
        <f t="shared" ca="1" si="61"/>
        <v>1675.2201025728266</v>
      </c>
      <c r="F113" s="154">
        <f t="shared" ca="1" si="61"/>
        <v>2113.8942821441692</v>
      </c>
      <c r="G113" s="154">
        <f t="shared" ca="1" si="61"/>
        <v>2599.9146543736961</v>
      </c>
      <c r="H113" s="154">
        <f t="shared" ca="1" si="61"/>
        <v>3138.1005423000752</v>
      </c>
      <c r="I113" s="154">
        <f t="shared" ca="1" si="61"/>
        <v>3733.849207248636</v>
      </c>
      <c r="J113" s="154">
        <f t="shared" ca="1" si="61"/>
        <v>4393.1083523630914</v>
      </c>
      <c r="K113" s="154">
        <f t="shared" ca="1" si="61"/>
        <v>5122.432031033989</v>
      </c>
      <c r="L113" s="149"/>
      <c r="M113" s="149"/>
    </row>
    <row r="114" spans="1:13" x14ac:dyDescent="0.2">
      <c r="A114" s="173" t="s">
        <v>103</v>
      </c>
      <c r="B114" s="156">
        <f>-B111</f>
        <v>-31000</v>
      </c>
      <c r="C114" s="156">
        <f t="shared" ref="C114:K114" si="62">SUM(C111:C113)</f>
        <v>2677.5</v>
      </c>
      <c r="D114" s="156">
        <f t="shared" ca="1" si="62"/>
        <v>1289.8873250000008</v>
      </c>
      <c r="E114" s="156">
        <f t="shared" ca="1" si="62"/>
        <v>1675.2201025728266</v>
      </c>
      <c r="F114" s="156">
        <f t="shared" ca="1" si="62"/>
        <v>2113.8942821441692</v>
      </c>
      <c r="G114" s="156">
        <f t="shared" ca="1" si="62"/>
        <v>2599.9146543736961</v>
      </c>
      <c r="H114" s="156">
        <f t="shared" ca="1" si="62"/>
        <v>3138.1005423000752</v>
      </c>
      <c r="I114" s="156">
        <f t="shared" ca="1" si="62"/>
        <v>3733.849207248636</v>
      </c>
      <c r="J114" s="156">
        <f t="shared" ca="1" si="62"/>
        <v>4393.1083523630914</v>
      </c>
      <c r="K114" s="156">
        <f t="shared" ca="1" si="62"/>
        <v>5122.432031033989</v>
      </c>
      <c r="L114" s="149"/>
      <c r="M114" s="149"/>
    </row>
    <row r="115" spans="1:13" x14ac:dyDescent="0.2">
      <c r="A115" s="176" t="s">
        <v>104</v>
      </c>
      <c r="B115" s="191">
        <f>+B109+B114</f>
        <v>-51000</v>
      </c>
      <c r="C115" s="191">
        <f t="shared" ref="C115:K115" si="63">+C109+C114</f>
        <v>5932.4078976502324</v>
      </c>
      <c r="D115" s="191">
        <f t="shared" ca="1" si="63"/>
        <v>4544.795222650233</v>
      </c>
      <c r="E115" s="191">
        <f t="shared" ca="1" si="63"/>
        <v>4930.1280002230587</v>
      </c>
      <c r="F115" s="191">
        <f t="shared" ca="1" si="63"/>
        <v>5368.802179794402</v>
      </c>
      <c r="G115" s="191">
        <f t="shared" ca="1" si="63"/>
        <v>5854.8225520239284</v>
      </c>
      <c r="H115" s="191">
        <f t="shared" ca="1" si="63"/>
        <v>6393.0084399503075</v>
      </c>
      <c r="I115" s="191">
        <f t="shared" ca="1" si="63"/>
        <v>6988.7571048988684</v>
      </c>
      <c r="J115" s="191">
        <f t="shared" ca="1" si="63"/>
        <v>7648.0162500133238</v>
      </c>
      <c r="K115" s="191">
        <f t="shared" ca="1" si="63"/>
        <v>8377.3399286842214</v>
      </c>
      <c r="L115" s="149"/>
      <c r="M115" s="149"/>
    </row>
    <row r="116" spans="1:13" x14ac:dyDescent="0.2">
      <c r="A116" s="149"/>
      <c r="B116" s="190"/>
      <c r="C116" s="193"/>
      <c r="D116" s="193"/>
      <c r="E116" s="193"/>
      <c r="F116" s="190"/>
      <c r="G116" s="167"/>
      <c r="H116" s="167"/>
      <c r="I116" s="167"/>
      <c r="J116" s="167"/>
      <c r="K116" s="167"/>
      <c r="L116" s="194"/>
      <c r="M116" s="149"/>
    </row>
    <row r="117" spans="1:13" x14ac:dyDescent="0.2">
      <c r="A117" s="174" t="s">
        <v>105</v>
      </c>
      <c r="B117" s="168">
        <f>+B102-B115</f>
        <v>6531.8055555555547</v>
      </c>
      <c r="C117" s="168">
        <f t="shared" ref="C117:K117" ca="1" si="64">+C102-C115</f>
        <v>-3335.6044157829501</v>
      </c>
      <c r="D117" s="168">
        <f t="shared" ca="1" si="64"/>
        <v>297.84143062375188</v>
      </c>
      <c r="E117" s="168">
        <f t="shared" ca="1" si="64"/>
        <v>542.13755115335243</v>
      </c>
      <c r="F117" s="168">
        <f t="shared" ca="1" si="64"/>
        <v>785.42873025549488</v>
      </c>
      <c r="G117" s="168">
        <f t="shared" ca="1" si="64"/>
        <v>1055.7733297185659</v>
      </c>
      <c r="H117" s="168">
        <f t="shared" ca="1" si="64"/>
        <v>1355.9573292771265</v>
      </c>
      <c r="I117" s="168">
        <f t="shared" ca="1" si="64"/>
        <v>1689.1083062118032</v>
      </c>
      <c r="J117" s="168">
        <f t="shared" ca="1" si="64"/>
        <v>2058.6778303546225</v>
      </c>
      <c r="K117" s="168">
        <f t="shared" ca="1" si="64"/>
        <v>2468.472112360143</v>
      </c>
      <c r="L117" s="149"/>
      <c r="M117" s="149"/>
    </row>
    <row r="118" spans="1:13" x14ac:dyDescent="0.2">
      <c r="A118" s="173" t="s">
        <v>106</v>
      </c>
      <c r="B118" s="195">
        <f>+B117</f>
        <v>6531.8055555555547</v>
      </c>
      <c r="C118" s="196">
        <f ca="1">+B118+C117</f>
        <v>3196.2011397726046</v>
      </c>
      <c r="D118" s="196">
        <f t="shared" ref="D118:K118" ca="1" si="65">+C118+D117</f>
        <v>3494.0425703963565</v>
      </c>
      <c r="E118" s="196">
        <f t="shared" ca="1" si="65"/>
        <v>4036.1801215497089</v>
      </c>
      <c r="F118" s="196">
        <f t="shared" ca="1" si="65"/>
        <v>4821.6088518052038</v>
      </c>
      <c r="G118" s="196">
        <f t="shared" ca="1" si="65"/>
        <v>5877.3821815237698</v>
      </c>
      <c r="H118" s="196">
        <f t="shared" ca="1" si="65"/>
        <v>7233.3395108008963</v>
      </c>
      <c r="I118" s="196">
        <f t="shared" ca="1" si="65"/>
        <v>8922.4478170127004</v>
      </c>
      <c r="J118" s="196">
        <f t="shared" ca="1" si="65"/>
        <v>10981.125647367324</v>
      </c>
      <c r="K118" s="196">
        <f t="shared" ca="1" si="65"/>
        <v>13449.597759727467</v>
      </c>
      <c r="L118" s="149"/>
      <c r="M118" s="149"/>
    </row>
    <row r="119" spans="1:13" x14ac:dyDescent="0.2">
      <c r="A119" s="187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49"/>
      <c r="M119" s="149"/>
    </row>
    <row r="120" spans="1:13" x14ac:dyDescent="0.2">
      <c r="A120" s="187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49"/>
      <c r="M120" s="149"/>
    </row>
    <row r="121" spans="1:13" x14ac:dyDescent="0.2">
      <c r="A121" s="249" t="s">
        <v>107</v>
      </c>
      <c r="B121" s="218" t="s">
        <v>185</v>
      </c>
      <c r="C121" s="228" t="s">
        <v>4</v>
      </c>
      <c r="D121" s="228"/>
      <c r="E121" s="228"/>
      <c r="F121" s="228"/>
      <c r="G121" s="228"/>
      <c r="H121" s="228"/>
      <c r="I121" s="228"/>
      <c r="J121" s="228"/>
      <c r="K121" s="229"/>
      <c r="L121" s="149"/>
      <c r="M121" s="149"/>
    </row>
    <row r="122" spans="1:13" x14ac:dyDescent="0.2">
      <c r="A122" s="250"/>
      <c r="B122" s="215">
        <v>2010</v>
      </c>
      <c r="C122" s="91">
        <v>2011</v>
      </c>
      <c r="D122" s="91">
        <v>2012</v>
      </c>
      <c r="E122" s="91">
        <v>2013</v>
      </c>
      <c r="F122" s="91">
        <v>2014</v>
      </c>
      <c r="G122" s="91">
        <v>2015</v>
      </c>
      <c r="H122" s="91">
        <v>2016</v>
      </c>
      <c r="I122" s="91">
        <v>2017</v>
      </c>
      <c r="J122" s="91">
        <v>2018</v>
      </c>
      <c r="K122" s="91">
        <v>2019</v>
      </c>
      <c r="L122" s="149"/>
      <c r="M122" s="149"/>
    </row>
    <row r="123" spans="1:13" x14ac:dyDescent="0.2">
      <c r="A123" s="197" t="s">
        <v>108</v>
      </c>
      <c r="B123" s="198">
        <f>+B96</f>
        <v>5531.8055555555566</v>
      </c>
      <c r="C123" s="198">
        <f t="shared" ref="C123:K123" ca="1" si="66">+C96</f>
        <v>5096.8034818672822</v>
      </c>
      <c r="D123" s="198">
        <f t="shared" ca="1" si="66"/>
        <v>7342.6366532739848</v>
      </c>
      <c r="E123" s="198">
        <f t="shared" ca="1" si="66"/>
        <v>7972.2655513764112</v>
      </c>
      <c r="F123" s="198">
        <f t="shared" ca="1" si="66"/>
        <v>8654.2309100498969</v>
      </c>
      <c r="G123" s="198">
        <f t="shared" ca="1" si="66"/>
        <v>9410.5958817424944</v>
      </c>
      <c r="H123" s="198">
        <f t="shared" ca="1" si="66"/>
        <v>10248.965769227434</v>
      </c>
      <c r="I123" s="198">
        <f t="shared" ca="1" si="66"/>
        <v>11177.865411110672</v>
      </c>
      <c r="J123" s="198">
        <f t="shared" ca="1" si="66"/>
        <v>12206.694080367946</v>
      </c>
      <c r="K123" s="168">
        <f t="shared" ca="1" si="66"/>
        <v>13345.812041044364</v>
      </c>
      <c r="L123" s="149"/>
      <c r="M123" s="149"/>
    </row>
    <row r="124" spans="1:13" x14ac:dyDescent="0.2">
      <c r="A124" s="199" t="s">
        <v>109</v>
      </c>
      <c r="B124" s="200">
        <f>+B101</f>
        <v>-50000</v>
      </c>
      <c r="C124" s="200">
        <f t="shared" ref="C124:K124" ca="1" si="67">+C101</f>
        <v>-2500</v>
      </c>
      <c r="D124" s="200">
        <f t="shared" ca="1" si="67"/>
        <v>-2500</v>
      </c>
      <c r="E124" s="200">
        <f t="shared" ca="1" si="67"/>
        <v>-2500</v>
      </c>
      <c r="F124" s="200">
        <f t="shared" ca="1" si="67"/>
        <v>-2500</v>
      </c>
      <c r="G124" s="200">
        <f t="shared" ca="1" si="67"/>
        <v>-2500</v>
      </c>
      <c r="H124" s="200">
        <f t="shared" ca="1" si="67"/>
        <v>-2500</v>
      </c>
      <c r="I124" s="200">
        <f t="shared" ca="1" si="67"/>
        <v>-2500</v>
      </c>
      <c r="J124" s="200">
        <f t="shared" ca="1" si="67"/>
        <v>-2500</v>
      </c>
      <c r="K124" s="156">
        <f t="shared" ca="1" si="67"/>
        <v>-2500</v>
      </c>
      <c r="L124" s="149"/>
      <c r="M124" s="149"/>
    </row>
    <row r="125" spans="1:13" x14ac:dyDescent="0.2">
      <c r="A125" s="184" t="s">
        <v>110</v>
      </c>
      <c r="B125" s="201">
        <f>SUM(B123:B124)</f>
        <v>-44468.194444444445</v>
      </c>
      <c r="C125" s="201">
        <f t="shared" ref="C125:K125" ca="1" si="68">SUM(C123:C124)</f>
        <v>2596.8034818672822</v>
      </c>
      <c r="D125" s="201">
        <f t="shared" ca="1" si="68"/>
        <v>4842.6366532739848</v>
      </c>
      <c r="E125" s="201">
        <f t="shared" ca="1" si="68"/>
        <v>5472.2655513764112</v>
      </c>
      <c r="F125" s="201">
        <f t="shared" ca="1" si="68"/>
        <v>6154.2309100498969</v>
      </c>
      <c r="G125" s="201">
        <f t="shared" ca="1" si="68"/>
        <v>6910.5958817424944</v>
      </c>
      <c r="H125" s="201">
        <f t="shared" ca="1" si="68"/>
        <v>7748.9657692274341</v>
      </c>
      <c r="I125" s="201">
        <f t="shared" ca="1" si="68"/>
        <v>8677.8654111106716</v>
      </c>
      <c r="J125" s="201">
        <f t="shared" ca="1" si="68"/>
        <v>9706.6940803679463</v>
      </c>
      <c r="K125" s="191">
        <f t="shared" ca="1" si="68"/>
        <v>10845.812041044364</v>
      </c>
      <c r="L125" s="149"/>
      <c r="M125" s="149"/>
    </row>
    <row r="126" spans="1:13" x14ac:dyDescent="0.2">
      <c r="A126" s="18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49"/>
      <c r="M126" s="149"/>
    </row>
    <row r="127" spans="1:13" x14ac:dyDescent="0.2">
      <c r="A127" s="197" t="s">
        <v>111</v>
      </c>
      <c r="B127" s="198">
        <f>+B109</f>
        <v>-20000</v>
      </c>
      <c r="C127" s="198">
        <f t="shared" ref="C127:K127" si="69">+C109</f>
        <v>3254.9078976502324</v>
      </c>
      <c r="D127" s="198">
        <f t="shared" si="69"/>
        <v>3254.9078976502324</v>
      </c>
      <c r="E127" s="198">
        <f t="shared" si="69"/>
        <v>3254.9078976502324</v>
      </c>
      <c r="F127" s="198">
        <f t="shared" si="69"/>
        <v>3254.9078976502324</v>
      </c>
      <c r="G127" s="198">
        <f t="shared" si="69"/>
        <v>3254.9078976502324</v>
      </c>
      <c r="H127" s="198">
        <f t="shared" si="69"/>
        <v>3254.9078976502324</v>
      </c>
      <c r="I127" s="198">
        <f t="shared" si="69"/>
        <v>3254.9078976502324</v>
      </c>
      <c r="J127" s="198">
        <f t="shared" si="69"/>
        <v>3254.9078976502324</v>
      </c>
      <c r="K127" s="168">
        <f t="shared" si="69"/>
        <v>3254.9078976502324</v>
      </c>
      <c r="L127" s="149"/>
      <c r="M127" s="149"/>
    </row>
    <row r="128" spans="1:13" x14ac:dyDescent="0.2">
      <c r="A128" s="199" t="s">
        <v>112</v>
      </c>
      <c r="B128" s="200">
        <f>+B114</f>
        <v>-31000</v>
      </c>
      <c r="C128" s="200">
        <f t="shared" ref="C128:K128" si="70">+C114</f>
        <v>2677.5</v>
      </c>
      <c r="D128" s="200">
        <f t="shared" ca="1" si="70"/>
        <v>1289.8873250000008</v>
      </c>
      <c r="E128" s="200">
        <f t="shared" ca="1" si="70"/>
        <v>1675.2201025728266</v>
      </c>
      <c r="F128" s="200">
        <f t="shared" ca="1" si="70"/>
        <v>2113.8942821441692</v>
      </c>
      <c r="G128" s="200">
        <f t="shared" ca="1" si="70"/>
        <v>2599.9146543736961</v>
      </c>
      <c r="H128" s="200">
        <f t="shared" ca="1" si="70"/>
        <v>3138.1005423000752</v>
      </c>
      <c r="I128" s="200">
        <f t="shared" ca="1" si="70"/>
        <v>3733.849207248636</v>
      </c>
      <c r="J128" s="200">
        <f t="shared" ca="1" si="70"/>
        <v>4393.1083523630914</v>
      </c>
      <c r="K128" s="156">
        <f t="shared" ca="1" si="70"/>
        <v>5122.432031033989</v>
      </c>
      <c r="L128" s="149"/>
      <c r="M128" s="149"/>
    </row>
    <row r="129" spans="1:13" x14ac:dyDescent="0.2">
      <c r="A129" s="184" t="s">
        <v>113</v>
      </c>
      <c r="B129" s="201">
        <f>SUM(B127:B128)</f>
        <v>-51000</v>
      </c>
      <c r="C129" s="201">
        <f t="shared" ref="C129:K129" si="71">SUM(C127:C128)</f>
        <v>5932.4078976502324</v>
      </c>
      <c r="D129" s="201">
        <f t="shared" ca="1" si="71"/>
        <v>4544.795222650233</v>
      </c>
      <c r="E129" s="201">
        <f t="shared" ca="1" si="71"/>
        <v>4930.1280002230587</v>
      </c>
      <c r="F129" s="201">
        <f t="shared" ca="1" si="71"/>
        <v>5368.802179794402</v>
      </c>
      <c r="G129" s="201">
        <f t="shared" ca="1" si="71"/>
        <v>5854.8225520239284</v>
      </c>
      <c r="H129" s="201">
        <f t="shared" ca="1" si="71"/>
        <v>6393.0084399503075</v>
      </c>
      <c r="I129" s="201">
        <f t="shared" ca="1" si="71"/>
        <v>6988.7571048988684</v>
      </c>
      <c r="J129" s="201">
        <f t="shared" ca="1" si="71"/>
        <v>7648.0162500133238</v>
      </c>
      <c r="K129" s="191">
        <f t="shared" ca="1" si="71"/>
        <v>8377.3399286842214</v>
      </c>
      <c r="L129" s="149"/>
      <c r="M129" s="149"/>
    </row>
    <row r="130" spans="1:13" x14ac:dyDescent="0.2">
      <c r="A130" s="18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49"/>
      <c r="M130" s="149"/>
    </row>
    <row r="131" spans="1:13" x14ac:dyDescent="0.2">
      <c r="A131" s="197" t="s">
        <v>114</v>
      </c>
      <c r="B131" s="198">
        <f>+B125-B129</f>
        <v>6531.8055555555547</v>
      </c>
      <c r="C131" s="198">
        <f t="shared" ref="C131:K131" ca="1" si="72">+C125-C129</f>
        <v>-3335.6044157829501</v>
      </c>
      <c r="D131" s="198">
        <f t="shared" ca="1" si="72"/>
        <v>297.84143062375188</v>
      </c>
      <c r="E131" s="198">
        <f t="shared" ca="1" si="72"/>
        <v>542.13755115335243</v>
      </c>
      <c r="F131" s="198">
        <f t="shared" ca="1" si="72"/>
        <v>785.42873025549488</v>
      </c>
      <c r="G131" s="198">
        <f t="shared" ca="1" si="72"/>
        <v>1055.7733297185659</v>
      </c>
      <c r="H131" s="198">
        <f t="shared" ca="1" si="72"/>
        <v>1355.9573292771265</v>
      </c>
      <c r="I131" s="198">
        <f t="shared" ca="1" si="72"/>
        <v>1689.1083062118032</v>
      </c>
      <c r="J131" s="198">
        <f t="shared" ca="1" si="72"/>
        <v>2058.6778303546225</v>
      </c>
      <c r="K131" s="168">
        <f t="shared" ca="1" si="72"/>
        <v>2468.472112360143</v>
      </c>
      <c r="L131" s="149"/>
      <c r="M131" s="149"/>
    </row>
    <row r="132" spans="1:13" x14ac:dyDescent="0.2">
      <c r="A132" s="202" t="s">
        <v>115</v>
      </c>
      <c r="B132" s="195">
        <f>+B131</f>
        <v>6531.8055555555547</v>
      </c>
      <c r="C132" s="195">
        <f ca="1">+B132+C131</f>
        <v>3196.2011397726046</v>
      </c>
      <c r="D132" s="195">
        <f t="shared" ref="D132:K132" ca="1" si="73">+C132+D131</f>
        <v>3494.0425703963565</v>
      </c>
      <c r="E132" s="195">
        <f t="shared" ca="1" si="73"/>
        <v>4036.1801215497089</v>
      </c>
      <c r="F132" s="195">
        <f t="shared" ca="1" si="73"/>
        <v>4821.6088518052038</v>
      </c>
      <c r="G132" s="195">
        <f t="shared" ca="1" si="73"/>
        <v>5877.3821815237698</v>
      </c>
      <c r="H132" s="195">
        <f t="shared" ca="1" si="73"/>
        <v>7233.3395108008963</v>
      </c>
      <c r="I132" s="195">
        <f t="shared" ca="1" si="73"/>
        <v>8922.4478170127004</v>
      </c>
      <c r="J132" s="195">
        <f t="shared" ca="1" si="73"/>
        <v>10981.125647367324</v>
      </c>
      <c r="K132" s="195">
        <f t="shared" ca="1" si="73"/>
        <v>13449.597759727467</v>
      </c>
      <c r="L132" s="149"/>
      <c r="M132" s="149"/>
    </row>
    <row r="133" spans="1:13" x14ac:dyDescent="0.2">
      <c r="A133" s="187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49"/>
      <c r="M133" s="149"/>
    </row>
    <row r="134" spans="1:13" x14ac:dyDescent="0.2">
      <c r="A134" s="148" t="s">
        <v>65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49"/>
      <c r="M134" s="149"/>
    </row>
    <row r="135" spans="1:13" x14ac:dyDescent="0.2">
      <c r="A135" s="187" t="s">
        <v>58</v>
      </c>
      <c r="B135" s="150">
        <f>+B71</f>
        <v>-1069.3055555555547</v>
      </c>
      <c r="C135" s="150">
        <f t="shared" ref="C135:K135" ca="1" si="74">+C71</f>
        <v>483.70317091049355</v>
      </c>
      <c r="D135" s="150">
        <f t="shared" ca="1" si="74"/>
        <v>307.60923215953426</v>
      </c>
      <c r="E135" s="150">
        <f t="shared" ca="1" si="74"/>
        <v>94.97015918352372</v>
      </c>
      <c r="F135" s="150">
        <f t="shared" ca="1" si="74"/>
        <v>-141.4441743657726</v>
      </c>
      <c r="G135" s="150">
        <f t="shared" ca="1" si="74"/>
        <v>-404.27524090761563</v>
      </c>
      <c r="H135" s="150">
        <f t="shared" ca="1" si="74"/>
        <v>-696.29281864842505</v>
      </c>
      <c r="I135" s="150">
        <f t="shared" ca="1" si="74"/>
        <v>-1020.5489682395237</v>
      </c>
      <c r="J135" s="150">
        <f t="shared" ca="1" si="74"/>
        <v>-1380.4089116433097</v>
      </c>
      <c r="K135" s="150">
        <f t="shared" ca="1" si="74"/>
        <v>-1779.5828600461464</v>
      </c>
      <c r="L135" s="149"/>
      <c r="M135" s="149"/>
    </row>
    <row r="136" spans="1:13" x14ac:dyDescent="0.2">
      <c r="A136" s="187" t="s">
        <v>66</v>
      </c>
      <c r="B136" s="203">
        <f>+B77+B76-B72</f>
        <v>5462.5</v>
      </c>
      <c r="C136" s="203">
        <f t="shared" ref="C136:K136" ca="1" si="75">+C77+C76-C72</f>
        <v>3679.9043106831086</v>
      </c>
      <c r="D136" s="203">
        <f t="shared" ca="1" si="75"/>
        <v>3801.6518025558908</v>
      </c>
      <c r="E136" s="203">
        <f t="shared" ca="1" si="75"/>
        <v>4131.1502807332363</v>
      </c>
      <c r="F136" s="203">
        <f t="shared" ca="1" si="75"/>
        <v>4680.1646774394321</v>
      </c>
      <c r="G136" s="203">
        <f t="shared" ca="1" si="75"/>
        <v>5473.106940616155</v>
      </c>
      <c r="H136" s="203">
        <f t="shared" ca="1" si="75"/>
        <v>6537.0466921524639</v>
      </c>
      <c r="I136" s="203">
        <f t="shared" ca="1" si="75"/>
        <v>7901.8988487731694</v>
      </c>
      <c r="J136" s="203">
        <f t="shared" ca="1" si="75"/>
        <v>9600.7167357240105</v>
      </c>
      <c r="K136" s="203">
        <f t="shared" ca="1" si="75"/>
        <v>11670.014899681322</v>
      </c>
      <c r="L136" s="149"/>
      <c r="M136" s="149"/>
    </row>
    <row r="137" spans="1:13" x14ac:dyDescent="0.2">
      <c r="A137" s="187" t="s">
        <v>67</v>
      </c>
      <c r="B137" s="167">
        <f>+B136-B135</f>
        <v>6531.8055555555547</v>
      </c>
      <c r="C137" s="167">
        <f t="shared" ref="C137:K137" ca="1" si="76">+C136-C135</f>
        <v>3196.2011397726151</v>
      </c>
      <c r="D137" s="167">
        <f t="shared" ca="1" si="76"/>
        <v>3494.0425703963565</v>
      </c>
      <c r="E137" s="167">
        <f t="shared" ca="1" si="76"/>
        <v>4036.1801215497126</v>
      </c>
      <c r="F137" s="167">
        <f t="shared" ca="1" si="76"/>
        <v>4821.6088518052047</v>
      </c>
      <c r="G137" s="167">
        <f t="shared" ca="1" si="76"/>
        <v>5877.3821815237707</v>
      </c>
      <c r="H137" s="167">
        <f t="shared" ca="1" si="76"/>
        <v>7233.339510800889</v>
      </c>
      <c r="I137" s="167">
        <f t="shared" ca="1" si="76"/>
        <v>8922.4478170126931</v>
      </c>
      <c r="J137" s="167">
        <f t="shared" ca="1" si="76"/>
        <v>10981.12564736732</v>
      </c>
      <c r="K137" s="167">
        <f t="shared" ca="1" si="76"/>
        <v>13449.597759727469</v>
      </c>
      <c r="L137" s="149"/>
      <c r="M137" s="149"/>
    </row>
    <row r="138" spans="1:13" x14ac:dyDescent="0.2">
      <c r="A138" s="187" t="s">
        <v>68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49"/>
      <c r="M138" s="149"/>
    </row>
    <row r="139" spans="1:13" x14ac:dyDescent="0.2">
      <c r="A139" s="18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49"/>
      <c r="M139" s="149"/>
    </row>
    <row r="140" spans="1:13" x14ac:dyDescent="0.2">
      <c r="A140" s="187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49"/>
      <c r="M140" s="149"/>
    </row>
    <row r="141" spans="1:13" x14ac:dyDescent="0.2">
      <c r="A141" s="148" t="s">
        <v>69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1:13" x14ac:dyDescent="0.2">
      <c r="A142" s="149" t="s">
        <v>70</v>
      </c>
      <c r="B142" s="93">
        <f>+B26/B10</f>
        <v>0.17849999999999999</v>
      </c>
      <c r="C142" s="93">
        <f t="shared" ref="C142:K142" ca="1" si="77">+C26/C10</f>
        <v>7.8174989393939437E-2</v>
      </c>
      <c r="D142" s="93">
        <f t="shared" ca="1" si="77"/>
        <v>9.2298628240927064E-2</v>
      </c>
      <c r="E142" s="93">
        <f t="shared" ca="1" si="77"/>
        <v>0.10588000411440866</v>
      </c>
      <c r="F142" s="93">
        <f t="shared" ca="1" si="77"/>
        <v>0.1183851127825374</v>
      </c>
      <c r="G142" s="93">
        <f t="shared" ca="1" si="77"/>
        <v>0.12990090270784094</v>
      </c>
      <c r="H142" s="93">
        <f t="shared" ca="1" si="77"/>
        <v>0.14051070241625449</v>
      </c>
      <c r="I142" s="93">
        <f t="shared" ca="1" si="77"/>
        <v>0.15029061435214955</v>
      </c>
      <c r="J142" s="93">
        <f t="shared" ca="1" si="77"/>
        <v>0.15931015647333921</v>
      </c>
      <c r="K142" s="93">
        <f t="shared" ca="1" si="77"/>
        <v>0.16763284036694021</v>
      </c>
      <c r="L142" s="149"/>
      <c r="M142" s="149"/>
    </row>
    <row r="143" spans="1:13" x14ac:dyDescent="0.2">
      <c r="A143" s="149" t="s">
        <v>71</v>
      </c>
      <c r="B143" s="93"/>
      <c r="C143" s="93">
        <f ca="1">+C26/B73</f>
        <v>3.8761545338441915E-2</v>
      </c>
      <c r="D143" s="93">
        <f t="shared" ref="D143:K143" ca="1" si="78">+D26/C73</f>
        <v>5.2012639369261836E-2</v>
      </c>
      <c r="E143" s="93">
        <f t="shared" ca="1" si="78"/>
        <v>6.5484181597925933E-2</v>
      </c>
      <c r="F143" s="93">
        <f t="shared" ca="1" si="78"/>
        <v>8.0049861644361328E-2</v>
      </c>
      <c r="G143" s="93">
        <f t="shared" ca="1" si="78"/>
        <v>9.565017957339926E-2</v>
      </c>
      <c r="H143" s="93">
        <f t="shared" ca="1" si="78"/>
        <v>0.11218196267144108</v>
      </c>
      <c r="I143" s="93">
        <f t="shared" ca="1" si="78"/>
        <v>0.12950530107818284</v>
      </c>
      <c r="J143" s="93">
        <f t="shared" ca="1" si="78"/>
        <v>0.14744571228463041</v>
      </c>
      <c r="K143" s="93">
        <f t="shared" ca="1" si="78"/>
        <v>0.16579895785132331</v>
      </c>
      <c r="L143" s="149"/>
      <c r="M143" s="149"/>
    </row>
    <row r="144" spans="1:13" x14ac:dyDescent="0.2">
      <c r="A144" s="149" t="s">
        <v>72</v>
      </c>
      <c r="B144" s="93"/>
      <c r="C144" s="93">
        <f ca="1">+(C22*(1-36.25%))/B73</f>
        <v>6.1750051085568351E-2</v>
      </c>
      <c r="D144" s="93">
        <f t="shared" ref="D144:K144" ca="1" si="79">+(D22*(1-36.25%))/C73</f>
        <v>7.427422192739197E-2</v>
      </c>
      <c r="E144" s="93">
        <f t="shared" ca="1" si="79"/>
        <v>8.6059743278905518E-2</v>
      </c>
      <c r="F144" s="93">
        <f t="shared" ca="1" si="79"/>
        <v>9.8711921142598844E-2</v>
      </c>
      <c r="G144" s="93">
        <f t="shared" ca="1" si="79"/>
        <v>0.11217753000893028</v>
      </c>
      <c r="H144" s="93">
        <f t="shared" ca="1" si="79"/>
        <v>0.12636162075717053</v>
      </c>
      <c r="I144" s="93">
        <f t="shared" ca="1" si="79"/>
        <v>0.14113923525614622</v>
      </c>
      <c r="J144" s="93">
        <f t="shared" ca="1" si="79"/>
        <v>0.15635772967267453</v>
      </c>
      <c r="K144" s="93">
        <f t="shared" ca="1" si="79"/>
        <v>0.17184124464791956</v>
      </c>
      <c r="L144" s="149"/>
      <c r="M144" s="149"/>
    </row>
    <row r="145" spans="1:13" x14ac:dyDescent="0.2">
      <c r="A145" s="149" t="s">
        <v>73</v>
      </c>
      <c r="B145" s="93"/>
      <c r="C145" s="93">
        <f ca="1">+C26/B77</f>
        <v>6.0622127834567066E-2</v>
      </c>
      <c r="D145" s="93">
        <f t="shared" ref="D145:K145" ca="1" si="80">+D26/C77</f>
        <v>7.9921239811961364E-2</v>
      </c>
      <c r="E145" s="93">
        <f t="shared" ca="1" si="80"/>
        <v>9.669185609367055E-2</v>
      </c>
      <c r="F145" s="93">
        <f t="shared" ca="1" si="80"/>
        <v>0.11318278508703571</v>
      </c>
      <c r="G145" s="93">
        <f t="shared" ca="1" si="80"/>
        <v>0.12912657388017892</v>
      </c>
      <c r="H145" s="93">
        <f t="shared" ca="1" si="80"/>
        <v>0.14427175290968755</v>
      </c>
      <c r="I145" s="93">
        <f t="shared" ca="1" si="80"/>
        <v>0.15841493047319061</v>
      </c>
      <c r="J145" s="93">
        <f t="shared" ca="1" si="80"/>
        <v>0.17140791310028702</v>
      </c>
      <c r="K145" s="93">
        <f t="shared" ca="1" si="80"/>
        <v>0.18315893970302799</v>
      </c>
      <c r="L145" s="212"/>
      <c r="M145" s="149"/>
    </row>
    <row r="146" spans="1:13" x14ac:dyDescent="0.2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1:13" x14ac:dyDescent="0.2">
      <c r="A147" s="148" t="s">
        <v>74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1:13" x14ac:dyDescent="0.2">
      <c r="A148" s="149" t="s">
        <v>75</v>
      </c>
      <c r="B148" s="90"/>
      <c r="C148" s="90">
        <f>+C10/B73</f>
        <v>0.49583051611449186</v>
      </c>
      <c r="D148" s="90">
        <f t="shared" ref="D148:K148" ca="1" si="81">+D10/C73</f>
        <v>0.56352559469782437</v>
      </c>
      <c r="E148" s="90">
        <f t="shared" ca="1" si="81"/>
        <v>0.61847543495717083</v>
      </c>
      <c r="F148" s="90">
        <f t="shared" ca="1" si="81"/>
        <v>0.67618182525538995</v>
      </c>
      <c r="G148" s="90">
        <f t="shared" ca="1" si="81"/>
        <v>0.7363319082433577</v>
      </c>
      <c r="H148" s="90">
        <f t="shared" ca="1" si="81"/>
        <v>0.7983873167120662</v>
      </c>
      <c r="I148" s="90">
        <f t="shared" ca="1" si="81"/>
        <v>0.86169919283672536</v>
      </c>
      <c r="J148" s="90">
        <f t="shared" ca="1" si="81"/>
        <v>0.92552612808026258</v>
      </c>
      <c r="K148" s="90">
        <f t="shared" ca="1" si="81"/>
        <v>0.98906012383013608</v>
      </c>
      <c r="L148" s="149"/>
      <c r="M148" s="149"/>
    </row>
    <row r="149" spans="1:13" x14ac:dyDescent="0.2">
      <c r="A149" s="149" t="s">
        <v>76</v>
      </c>
      <c r="B149" s="140">
        <f>+B136/B135</f>
        <v>-5.1084556435900801</v>
      </c>
      <c r="C149" s="140">
        <f t="shared" ref="C149:K149" ca="1" si="82">+C136/C135</f>
        <v>7.6077738001102615</v>
      </c>
      <c r="D149" s="140">
        <f t="shared" ca="1" si="82"/>
        <v>12.358705152855276</v>
      </c>
      <c r="E149" s="140">
        <f t="shared" ca="1" si="82"/>
        <v>43.499456210766738</v>
      </c>
      <c r="F149" s="140">
        <f t="shared" ca="1" si="82"/>
        <v>-33.088423036332294</v>
      </c>
      <c r="G149" s="140">
        <f t="shared" ca="1" si="82"/>
        <v>-13.538071063488307</v>
      </c>
      <c r="H149" s="140">
        <f t="shared" ca="1" si="82"/>
        <v>-9.3883586288331031</v>
      </c>
      <c r="I149" s="140">
        <f t="shared" ca="1" si="82"/>
        <v>-7.7427924525798817</v>
      </c>
      <c r="J149" s="140">
        <f t="shared" ca="1" si="82"/>
        <v>-6.9549802632720068</v>
      </c>
      <c r="K149" s="140">
        <f t="shared" ca="1" si="82"/>
        <v>-6.5577249375051334</v>
      </c>
      <c r="L149" s="149"/>
      <c r="M149" s="149"/>
    </row>
    <row r="150" spans="1:13" x14ac:dyDescent="0.2">
      <c r="A150" s="149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49"/>
      <c r="M150" s="149"/>
    </row>
    <row r="151" spans="1:13" x14ac:dyDescent="0.2">
      <c r="A151" s="148" t="s">
        <v>77</v>
      </c>
      <c r="B151" s="164"/>
      <c r="C151" s="165"/>
      <c r="D151" s="165"/>
      <c r="E151" s="165"/>
      <c r="F151" s="165"/>
      <c r="G151" s="165"/>
      <c r="H151" s="165"/>
      <c r="I151" s="165"/>
      <c r="J151" s="165"/>
      <c r="K151" s="165"/>
      <c r="L151" s="149"/>
      <c r="M151" s="149"/>
    </row>
    <row r="152" spans="1:13" x14ac:dyDescent="0.2">
      <c r="A152" s="149" t="s">
        <v>152</v>
      </c>
      <c r="B152" s="94">
        <f>+B76/B73</f>
        <v>0.36060401171963036</v>
      </c>
      <c r="C152" s="94">
        <f t="shared" ref="C152:K152" ca="1" si="83">+C76/C73</f>
        <v>0.34920129502949232</v>
      </c>
      <c r="D152" s="94">
        <f t="shared" ca="1" si="83"/>
        <v>0.32275390872124843</v>
      </c>
      <c r="E152" s="94">
        <f t="shared" ca="1" si="83"/>
        <v>0.29273818820764741</v>
      </c>
      <c r="F152" s="94">
        <f t="shared" ca="1" si="83"/>
        <v>0.25925255585146689</v>
      </c>
      <c r="G152" s="94">
        <f t="shared" ca="1" si="83"/>
        <v>0.22242600918791297</v>
      </c>
      <c r="H152" s="94">
        <f t="shared" ca="1" si="83"/>
        <v>0.18249308514452373</v>
      </c>
      <c r="I152" s="94">
        <f t="shared" ca="1" si="83"/>
        <v>0.13979635118500533</v>
      </c>
      <c r="J152" s="94">
        <f t="shared" ca="1" si="83"/>
        <v>9.4780969358372449E-2</v>
      </c>
      <c r="K152" s="94">
        <f t="shared" ca="1" si="83"/>
        <v>4.7981295034474215E-2</v>
      </c>
      <c r="L152" s="149"/>
      <c r="M152" s="149"/>
    </row>
    <row r="153" spans="1:13" x14ac:dyDescent="0.2">
      <c r="A153" s="149" t="s">
        <v>153</v>
      </c>
      <c r="B153" s="90">
        <f>+B73/B77</f>
        <v>1.5639760310186817</v>
      </c>
      <c r="C153" s="90">
        <f t="shared" ref="C153:K153" ca="1" si="84">+C73/C77</f>
        <v>1.5365734325567184</v>
      </c>
      <c r="D153" s="90">
        <f t="shared" ca="1" si="84"/>
        <v>1.476568138048366</v>
      </c>
      <c r="E153" s="90">
        <f t="shared" ca="1" si="84"/>
        <v>1.4139035691263839</v>
      </c>
      <c r="F153" s="90">
        <f t="shared" ca="1" si="84"/>
        <v>1.3499877831498561</v>
      </c>
      <c r="G153" s="90">
        <f t="shared" ca="1" si="84"/>
        <v>1.2860512463329881</v>
      </c>
      <c r="H153" s="90">
        <f t="shared" ca="1" si="84"/>
        <v>1.223231243465122</v>
      </c>
      <c r="I153" s="90">
        <f t="shared" ca="1" si="84"/>
        <v>1.1625154129229596</v>
      </c>
      <c r="J153" s="90">
        <f t="shared" ca="1" si="84"/>
        <v>1.1047050118811474</v>
      </c>
      <c r="K153" s="90">
        <f t="shared" ca="1" si="84"/>
        <v>1.0503995297405546</v>
      </c>
      <c r="L153" s="149"/>
      <c r="M153" s="149"/>
    </row>
    <row r="154" spans="1:13" x14ac:dyDescent="0.2">
      <c r="A154" s="187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49"/>
      <c r="M154" s="149"/>
    </row>
    <row r="155" spans="1:13" x14ac:dyDescent="0.2">
      <c r="A155" s="187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49"/>
      <c r="M155" s="149"/>
    </row>
    <row r="156" spans="1:13" x14ac:dyDescent="0.2">
      <c r="A156" s="249" t="s">
        <v>160</v>
      </c>
      <c r="B156" s="218" t="s">
        <v>185</v>
      </c>
      <c r="C156" s="228" t="s">
        <v>4</v>
      </c>
      <c r="D156" s="228"/>
      <c r="E156" s="228"/>
      <c r="F156" s="228"/>
      <c r="G156" s="228"/>
      <c r="H156" s="228"/>
      <c r="I156" s="228"/>
      <c r="J156" s="228"/>
      <c r="K156" s="229"/>
      <c r="L156" s="149"/>
      <c r="M156" s="149"/>
    </row>
    <row r="157" spans="1:13" x14ac:dyDescent="0.2">
      <c r="A157" s="250"/>
      <c r="B157" s="215">
        <v>2010</v>
      </c>
      <c r="C157" s="91">
        <v>2011</v>
      </c>
      <c r="D157" s="91">
        <v>2012</v>
      </c>
      <c r="E157" s="91">
        <v>2013</v>
      </c>
      <c r="F157" s="91">
        <v>2014</v>
      </c>
      <c r="G157" s="91">
        <v>2015</v>
      </c>
      <c r="H157" s="91">
        <v>2016</v>
      </c>
      <c r="I157" s="91">
        <v>2017</v>
      </c>
      <c r="J157" s="91">
        <v>2018</v>
      </c>
      <c r="K157" s="91">
        <v>2019</v>
      </c>
      <c r="L157" s="149"/>
      <c r="M157" s="149"/>
    </row>
    <row r="158" spans="1:13" x14ac:dyDescent="0.2">
      <c r="A158" s="204" t="s">
        <v>161</v>
      </c>
      <c r="B158" s="137">
        <f>+B129</f>
        <v>-51000</v>
      </c>
      <c r="C158" s="137">
        <f t="shared" ref="C158:K158" si="85">+C129</f>
        <v>5932.4078976502324</v>
      </c>
      <c r="D158" s="137">
        <f t="shared" ca="1" si="85"/>
        <v>4544.795222650233</v>
      </c>
      <c r="E158" s="137">
        <f t="shared" ca="1" si="85"/>
        <v>4930.1280002230587</v>
      </c>
      <c r="F158" s="137">
        <f t="shared" ca="1" si="85"/>
        <v>5368.802179794402</v>
      </c>
      <c r="G158" s="137">
        <f t="shared" ca="1" si="85"/>
        <v>5854.8225520239284</v>
      </c>
      <c r="H158" s="137">
        <f t="shared" ca="1" si="85"/>
        <v>6393.0084399503075</v>
      </c>
      <c r="I158" s="137">
        <f t="shared" ca="1" si="85"/>
        <v>6988.7571048988684</v>
      </c>
      <c r="J158" s="137">
        <f t="shared" ca="1" si="85"/>
        <v>7648.0162500133238</v>
      </c>
      <c r="K158" s="137">
        <f t="shared" ca="1" si="85"/>
        <v>8377.3399286842214</v>
      </c>
      <c r="L158" s="149"/>
      <c r="M158" s="149"/>
    </row>
    <row r="159" spans="1:13" x14ac:dyDescent="0.2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1:13" x14ac:dyDescent="0.2">
      <c r="A160" s="151" t="s">
        <v>117</v>
      </c>
      <c r="B160" s="165" t="s">
        <v>175</v>
      </c>
      <c r="C160" s="165"/>
      <c r="D160" s="165"/>
      <c r="E160" s="165"/>
      <c r="F160" s="165"/>
      <c r="G160" s="165"/>
      <c r="H160" s="165"/>
      <c r="I160" s="165"/>
      <c r="J160" s="165"/>
      <c r="K160" s="205">
        <v>0.125</v>
      </c>
      <c r="L160" s="149"/>
      <c r="M160" s="149"/>
    </row>
    <row r="161" spans="1:13" x14ac:dyDescent="0.2">
      <c r="A161" s="153" t="s">
        <v>118</v>
      </c>
      <c r="B161" s="165" t="s">
        <v>174</v>
      </c>
      <c r="C161" s="165"/>
      <c r="D161" s="165"/>
      <c r="E161" s="165"/>
      <c r="F161" s="165"/>
      <c r="G161" s="165"/>
      <c r="H161" s="165"/>
      <c r="I161" s="165"/>
      <c r="J161" s="165"/>
      <c r="K161" s="206">
        <v>0.76</v>
      </c>
      <c r="L161" s="149"/>
      <c r="M161" s="149"/>
    </row>
    <row r="162" spans="1:13" x14ac:dyDescent="0.2">
      <c r="A162" s="153" t="s">
        <v>119</v>
      </c>
      <c r="B162" s="165" t="s">
        <v>176</v>
      </c>
      <c r="C162" s="165"/>
      <c r="D162" s="165"/>
      <c r="E162" s="165"/>
      <c r="F162" s="165"/>
      <c r="G162" s="165"/>
      <c r="H162" s="165"/>
      <c r="I162" s="165"/>
      <c r="J162" s="165"/>
      <c r="K162" s="207">
        <v>9.7900000000000001E-2</v>
      </c>
      <c r="L162" s="149"/>
      <c r="M162" s="149"/>
    </row>
    <row r="163" spans="1:13" x14ac:dyDescent="0.2">
      <c r="A163" s="208" t="s">
        <v>121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209">
        <f>+K160+(K161*K162)</f>
        <v>0.199404</v>
      </c>
      <c r="L163" s="149"/>
      <c r="M163" s="149"/>
    </row>
    <row r="164" spans="1:13" x14ac:dyDescent="0.2">
      <c r="A164" s="178"/>
      <c r="B164" s="165"/>
      <c r="C164" s="165"/>
      <c r="D164" s="165"/>
      <c r="E164" s="165"/>
      <c r="F164" s="165"/>
      <c r="G164" s="165"/>
      <c r="H164" s="165"/>
      <c r="I164" s="165"/>
      <c r="J164" s="165"/>
      <c r="K164" s="210"/>
      <c r="L164" s="149"/>
      <c r="M164" s="149"/>
    </row>
    <row r="165" spans="1:13" x14ac:dyDescent="0.2">
      <c r="A165" s="151" t="s">
        <v>122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8">
        <f ca="1">+K22*(1-36.25%)</f>
        <v>10241.861345774903</v>
      </c>
      <c r="L165" s="149"/>
      <c r="M165" s="149"/>
    </row>
    <row r="166" spans="1:13" x14ac:dyDescent="0.2">
      <c r="A166" s="153" t="s">
        <v>123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0">
        <f ca="1">+K165*K163</f>
        <v>2042.2681197928989</v>
      </c>
      <c r="L166" s="149"/>
      <c r="M166" s="149"/>
    </row>
    <row r="167" spans="1:13" x14ac:dyDescent="0.2">
      <c r="A167" s="208" t="s">
        <v>124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91">
        <f ca="1">SUM(K165:K166)</f>
        <v>12284.129465567803</v>
      </c>
      <c r="L167" s="149"/>
      <c r="M167" s="149"/>
    </row>
    <row r="168" spans="1:13" x14ac:dyDescent="0.2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1:13" x14ac:dyDescent="0.2">
      <c r="A169" s="208" t="s">
        <v>162</v>
      </c>
      <c r="B169" s="224">
        <f>+B158</f>
        <v>-51000</v>
      </c>
      <c r="C169" s="211">
        <f t="shared" ref="C169:J169" si="86">+C158</f>
        <v>5932.4078976502324</v>
      </c>
      <c r="D169" s="211">
        <f t="shared" ca="1" si="86"/>
        <v>4544.795222650233</v>
      </c>
      <c r="E169" s="211">
        <f t="shared" ca="1" si="86"/>
        <v>4930.1280002230587</v>
      </c>
      <c r="F169" s="211">
        <f t="shared" ca="1" si="86"/>
        <v>5368.802179794402</v>
      </c>
      <c r="G169" s="211">
        <f t="shared" ca="1" si="86"/>
        <v>5854.8225520239284</v>
      </c>
      <c r="H169" s="211">
        <f t="shared" ca="1" si="86"/>
        <v>6393.0084399503075</v>
      </c>
      <c r="I169" s="211">
        <f t="shared" ca="1" si="86"/>
        <v>6988.7571048988684</v>
      </c>
      <c r="J169" s="211">
        <f t="shared" ca="1" si="86"/>
        <v>7648.0162500133238</v>
      </c>
      <c r="K169" s="211">
        <f ca="1">+K158+K167</f>
        <v>20661.469394252024</v>
      </c>
      <c r="L169" s="149"/>
      <c r="M169" s="149"/>
    </row>
    <row r="170" spans="1:13" x14ac:dyDescent="0.2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1:13" x14ac:dyDescent="0.2">
      <c r="A171" s="208" t="s">
        <v>163</v>
      </c>
      <c r="B171" s="145">
        <f ca="1">+NPV(K163,C169:K169)+B169</f>
        <v>-25171.573518547986</v>
      </c>
      <c r="C171" s="214"/>
      <c r="D171" s="214"/>
      <c r="E171" s="214"/>
      <c r="F171" s="214"/>
      <c r="G171" s="214"/>
      <c r="H171" s="214"/>
      <c r="I171" s="214"/>
      <c r="J171" s="214"/>
      <c r="K171" s="214"/>
      <c r="L171" s="149"/>
      <c r="M171" s="149"/>
    </row>
    <row r="172" spans="1:13" x14ac:dyDescent="0.2">
      <c r="A172" s="204" t="s">
        <v>164</v>
      </c>
      <c r="B172" s="145">
        <f>+B76</f>
        <v>20000</v>
      </c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1:13" x14ac:dyDescent="0.2">
      <c r="A173" s="208" t="s">
        <v>165</v>
      </c>
      <c r="B173" s="145">
        <f ca="1">+B171-B172</f>
        <v>-45171.573518547986</v>
      </c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1:13" x14ac:dyDescent="0.2">
      <c r="A174" s="149"/>
      <c r="B174" s="2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1:13" x14ac:dyDescent="0.2">
      <c r="A175" s="204" t="s">
        <v>166</v>
      </c>
      <c r="B175" s="137">
        <f>+B61</f>
        <v>31000</v>
      </c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1:13" x14ac:dyDescent="0.2">
      <c r="A176" s="208" t="s">
        <v>167</v>
      </c>
      <c r="B176" s="146">
        <f ca="1">+B173/B175</f>
        <v>-1.4571475328563865</v>
      </c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1:13" x14ac:dyDescent="0.2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1:13" x14ac:dyDescent="0.2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1:13" x14ac:dyDescent="0.2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1:13" x14ac:dyDescent="0.2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1:13" x14ac:dyDescent="0.2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1:13" x14ac:dyDescent="0.2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1:13" x14ac:dyDescent="0.2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1:13" x14ac:dyDescent="0.2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1:13" x14ac:dyDescent="0.2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1:13" x14ac:dyDescent="0.2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1:13" x14ac:dyDescent="0.2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1:13" x14ac:dyDescent="0.2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1:13" x14ac:dyDescent="0.2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1:13" x14ac:dyDescent="0.2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1:13" x14ac:dyDescent="0.2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1:13" x14ac:dyDescent="0.2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1:13" x14ac:dyDescent="0.2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1:13" x14ac:dyDescent="0.2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1:13" x14ac:dyDescent="0.2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1:13" x14ac:dyDescent="0.2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1:13" x14ac:dyDescent="0.2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1:13" x14ac:dyDescent="0.2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1:13" x14ac:dyDescent="0.2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1:13" x14ac:dyDescent="0.2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1:13" x14ac:dyDescent="0.2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1:13" x14ac:dyDescent="0.2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1:13" x14ac:dyDescent="0.2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1:13" x14ac:dyDescent="0.2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1:13" x14ac:dyDescent="0.2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1:13" x14ac:dyDescent="0.2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1:13" x14ac:dyDescent="0.2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1:13" x14ac:dyDescent="0.2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1:13" x14ac:dyDescent="0.2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1:13" x14ac:dyDescent="0.2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1:13" x14ac:dyDescent="0.2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1:13" x14ac:dyDescent="0.2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1:13" x14ac:dyDescent="0.2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1:13" x14ac:dyDescent="0.2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1:13" x14ac:dyDescent="0.2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1:13" x14ac:dyDescent="0.2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1:13" x14ac:dyDescent="0.2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1:13" x14ac:dyDescent="0.2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1:13" x14ac:dyDescent="0.2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1:13" x14ac:dyDescent="0.2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1:13" x14ac:dyDescent="0.2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1:13" x14ac:dyDescent="0.2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1:13" x14ac:dyDescent="0.2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1:13" x14ac:dyDescent="0.2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1:13" x14ac:dyDescent="0.2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1:13" x14ac:dyDescent="0.2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1:13" x14ac:dyDescent="0.2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1:13" x14ac:dyDescent="0.2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1:13" x14ac:dyDescent="0.2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</row>
    <row r="230" spans="1:13" x14ac:dyDescent="0.2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</row>
    <row r="231" spans="1:13" x14ac:dyDescent="0.2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</row>
    <row r="232" spans="1:13" x14ac:dyDescent="0.2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</row>
    <row r="233" spans="1:13" x14ac:dyDescent="0.2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</row>
    <row r="234" spans="1:13" x14ac:dyDescent="0.2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</row>
    <row r="235" spans="1:13" x14ac:dyDescent="0.2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</row>
    <row r="236" spans="1:13" x14ac:dyDescent="0.2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</row>
    <row r="237" spans="1:13" x14ac:dyDescent="0.2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</row>
    <row r="238" spans="1:13" x14ac:dyDescent="0.2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</row>
    <row r="239" spans="1:13" x14ac:dyDescent="0.2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</row>
    <row r="240" spans="1:13" x14ac:dyDescent="0.2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</row>
    <row r="241" spans="1:13" x14ac:dyDescent="0.2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</row>
    <row r="242" spans="1:13" x14ac:dyDescent="0.2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</row>
    <row r="243" spans="1:13" x14ac:dyDescent="0.2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</row>
    <row r="244" spans="1:13" x14ac:dyDescent="0.2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3" x14ac:dyDescent="0.2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</row>
    <row r="246" spans="1:13" x14ac:dyDescent="0.2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</row>
    <row r="247" spans="1:13" x14ac:dyDescent="0.2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</row>
    <row r="248" spans="1:13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</row>
    <row r="249" spans="1:13" x14ac:dyDescent="0.2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</row>
    <row r="250" spans="1:13" x14ac:dyDescent="0.2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</row>
    <row r="251" spans="1:13" x14ac:dyDescent="0.2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</row>
    <row r="252" spans="1:13" x14ac:dyDescent="0.2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</row>
    <row r="253" spans="1:13" x14ac:dyDescent="0.2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</row>
    <row r="254" spans="1:13" x14ac:dyDescent="0.2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</row>
    <row r="255" spans="1:13" x14ac:dyDescent="0.2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</row>
    <row r="256" spans="1:13" x14ac:dyDescent="0.2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</row>
    <row r="257" spans="1:13" x14ac:dyDescent="0.2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</row>
    <row r="258" spans="1:13" x14ac:dyDescent="0.2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</row>
    <row r="259" spans="1:13" x14ac:dyDescent="0.2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</row>
    <row r="260" spans="1:13" x14ac:dyDescent="0.2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</row>
    <row r="261" spans="1:13" x14ac:dyDescent="0.2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</row>
    <row r="262" spans="1:13" x14ac:dyDescent="0.2">
      <c r="A262" s="14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</row>
    <row r="263" spans="1:13" x14ac:dyDescent="0.2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</row>
    <row r="264" spans="1:13" x14ac:dyDescent="0.2">
      <c r="A264" s="14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</row>
    <row r="265" spans="1:13" x14ac:dyDescent="0.2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</row>
    <row r="266" spans="1:13" x14ac:dyDescent="0.2">
      <c r="A266" s="14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</row>
    <row r="267" spans="1:13" x14ac:dyDescent="0.2">
      <c r="A267" s="14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</row>
    <row r="268" spans="1:13" x14ac:dyDescent="0.2">
      <c r="A268" s="14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</row>
    <row r="269" spans="1:13" x14ac:dyDescent="0.2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</row>
    <row r="270" spans="1:13" x14ac:dyDescent="0.2">
      <c r="A270" s="14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</row>
    <row r="271" spans="1:13" x14ac:dyDescent="0.2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</row>
    <row r="272" spans="1:13" x14ac:dyDescent="0.2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</row>
    <row r="273" spans="1:13" x14ac:dyDescent="0.2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</row>
    <row r="274" spans="1:13" x14ac:dyDescent="0.2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</row>
    <row r="275" spans="1:13" x14ac:dyDescent="0.2">
      <c r="A275" s="149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</row>
    <row r="276" spans="1:13" x14ac:dyDescent="0.2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</row>
    <row r="277" spans="1:13" x14ac:dyDescent="0.2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</row>
    <row r="278" spans="1:13" x14ac:dyDescent="0.2">
      <c r="A278" s="149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</row>
    <row r="279" spans="1:13" x14ac:dyDescent="0.2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</row>
    <row r="280" spans="1:13" x14ac:dyDescent="0.2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</row>
    <row r="281" spans="1:13" x14ac:dyDescent="0.2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</row>
    <row r="282" spans="1:13" x14ac:dyDescent="0.2">
      <c r="A282" s="149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</row>
    <row r="283" spans="1:13" x14ac:dyDescent="0.2">
      <c r="A283" s="149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</row>
    <row r="284" spans="1:13" x14ac:dyDescent="0.2">
      <c r="A284" s="149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</row>
    <row r="285" spans="1:13" x14ac:dyDescent="0.2">
      <c r="A285" s="149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</row>
    <row r="286" spans="1:13" x14ac:dyDescent="0.2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</row>
    <row r="287" spans="1:13" x14ac:dyDescent="0.2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</row>
    <row r="288" spans="1:13" x14ac:dyDescent="0.2">
      <c r="A288" s="149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</row>
    <row r="289" spans="1:13" x14ac:dyDescent="0.2">
      <c r="A289" s="149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</row>
    <row r="290" spans="1:13" x14ac:dyDescent="0.2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</row>
    <row r="291" spans="1:13" x14ac:dyDescent="0.2">
      <c r="A291" s="149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</row>
    <row r="292" spans="1:13" x14ac:dyDescent="0.2">
      <c r="A292" s="149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</row>
    <row r="293" spans="1:13" x14ac:dyDescent="0.2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</row>
    <row r="294" spans="1:13" x14ac:dyDescent="0.2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</row>
    <row r="295" spans="1:13" x14ac:dyDescent="0.2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</row>
    <row r="296" spans="1:13" x14ac:dyDescent="0.2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</row>
    <row r="297" spans="1:13" x14ac:dyDescent="0.2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</row>
    <row r="298" spans="1:13" x14ac:dyDescent="0.2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</row>
    <row r="299" spans="1:13" x14ac:dyDescent="0.2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</row>
    <row r="300" spans="1:13" x14ac:dyDescent="0.2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</row>
    <row r="301" spans="1:13" x14ac:dyDescent="0.2">
      <c r="A301" s="149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</row>
    <row r="302" spans="1:13" x14ac:dyDescent="0.2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</row>
    <row r="303" spans="1:13" x14ac:dyDescent="0.2">
      <c r="A303" s="149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</row>
    <row r="304" spans="1:13" x14ac:dyDescent="0.2">
      <c r="A304" s="149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</row>
    <row r="305" spans="1:13" x14ac:dyDescent="0.2">
      <c r="A305" s="149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</row>
    <row r="306" spans="1:13" x14ac:dyDescent="0.2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</row>
    <row r="307" spans="1:13" x14ac:dyDescent="0.2">
      <c r="A307" s="149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</row>
    <row r="308" spans="1:13" x14ac:dyDescent="0.2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</row>
    <row r="309" spans="1:13" x14ac:dyDescent="0.2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</row>
    <row r="310" spans="1:13" x14ac:dyDescent="0.2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</row>
    <row r="311" spans="1:13" x14ac:dyDescent="0.2">
      <c r="A311" s="14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</row>
    <row r="312" spans="1:13" x14ac:dyDescent="0.2">
      <c r="A312" s="149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</row>
    <row r="313" spans="1:13" x14ac:dyDescent="0.2">
      <c r="A313" s="149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</row>
    <row r="314" spans="1:13" x14ac:dyDescent="0.2">
      <c r="A314" s="149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</row>
    <row r="315" spans="1:13" x14ac:dyDescent="0.2">
      <c r="A315" s="149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</row>
    <row r="316" spans="1:13" x14ac:dyDescent="0.2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</row>
    <row r="317" spans="1:13" x14ac:dyDescent="0.2">
      <c r="A317" s="149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</row>
    <row r="318" spans="1:13" x14ac:dyDescent="0.2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</row>
    <row r="319" spans="1:13" x14ac:dyDescent="0.2">
      <c r="A319" s="149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</row>
    <row r="320" spans="1:13" x14ac:dyDescent="0.2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</row>
    <row r="321" spans="1:13" x14ac:dyDescent="0.2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</row>
    <row r="322" spans="1:13" x14ac:dyDescent="0.2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</row>
    <row r="323" spans="1:13" x14ac:dyDescent="0.2">
      <c r="A323" s="149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</row>
    <row r="324" spans="1:13" x14ac:dyDescent="0.2">
      <c r="A324" s="149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</row>
    <row r="325" spans="1:13" x14ac:dyDescent="0.2">
      <c r="A325" s="149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</row>
    <row r="326" spans="1:13" x14ac:dyDescent="0.2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</row>
    <row r="327" spans="1:13" x14ac:dyDescent="0.2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</row>
    <row r="328" spans="1:13" x14ac:dyDescent="0.2">
      <c r="A328" s="149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</row>
    <row r="329" spans="1:13" x14ac:dyDescent="0.2">
      <c r="A329" s="149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</row>
    <row r="330" spans="1:13" x14ac:dyDescent="0.2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</row>
    <row r="331" spans="1:13" x14ac:dyDescent="0.2">
      <c r="A331" s="149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</row>
    <row r="332" spans="1:13" x14ac:dyDescent="0.2">
      <c r="A332" s="149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</row>
    <row r="333" spans="1:13" x14ac:dyDescent="0.2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</row>
    <row r="334" spans="1:13" x14ac:dyDescent="0.2">
      <c r="A334" s="149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</row>
    <row r="335" spans="1:13" x14ac:dyDescent="0.2">
      <c r="A335" s="149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</row>
    <row r="336" spans="1:13" x14ac:dyDescent="0.2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</row>
    <row r="337" spans="1:13" x14ac:dyDescent="0.2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</row>
    <row r="338" spans="1:13" x14ac:dyDescent="0.2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</row>
    <row r="339" spans="1:13" x14ac:dyDescent="0.2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</row>
    <row r="340" spans="1:13" x14ac:dyDescent="0.2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</row>
    <row r="341" spans="1:13" x14ac:dyDescent="0.2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</row>
    <row r="342" spans="1:13" x14ac:dyDescent="0.2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</row>
    <row r="343" spans="1:13" x14ac:dyDescent="0.2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</row>
    <row r="344" spans="1:13" x14ac:dyDescent="0.2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</row>
    <row r="345" spans="1:13" x14ac:dyDescent="0.2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</row>
    <row r="346" spans="1:13" x14ac:dyDescent="0.2">
      <c r="A346" s="149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</row>
    <row r="347" spans="1:13" x14ac:dyDescent="0.2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</row>
    <row r="348" spans="1:13" x14ac:dyDescent="0.2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</row>
    <row r="349" spans="1:13" x14ac:dyDescent="0.2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</row>
    <row r="350" spans="1:13" x14ac:dyDescent="0.2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</row>
    <row r="351" spans="1:13" x14ac:dyDescent="0.2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</row>
    <row r="352" spans="1:13" x14ac:dyDescent="0.2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</row>
    <row r="353" spans="1:13" x14ac:dyDescent="0.2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</row>
    <row r="354" spans="1:13" x14ac:dyDescent="0.2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</row>
    <row r="355" spans="1:13" x14ac:dyDescent="0.2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</row>
    <row r="356" spans="1:13" x14ac:dyDescent="0.2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</row>
    <row r="357" spans="1:13" x14ac:dyDescent="0.2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</row>
    <row r="358" spans="1:13" x14ac:dyDescent="0.2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</row>
    <row r="359" spans="1:13" x14ac:dyDescent="0.2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</row>
    <row r="360" spans="1:13" x14ac:dyDescent="0.2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</row>
    <row r="361" spans="1:13" x14ac:dyDescent="0.2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</row>
    <row r="362" spans="1:13" x14ac:dyDescent="0.2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</row>
    <row r="363" spans="1:13" x14ac:dyDescent="0.2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</row>
    <row r="364" spans="1:13" x14ac:dyDescent="0.2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</row>
    <row r="365" spans="1:13" x14ac:dyDescent="0.2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</row>
    <row r="366" spans="1:13" x14ac:dyDescent="0.2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</row>
    <row r="367" spans="1:13" x14ac:dyDescent="0.2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</row>
    <row r="368" spans="1:13" x14ac:dyDescent="0.2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</row>
    <row r="369" spans="1:13" x14ac:dyDescent="0.2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</row>
    <row r="370" spans="1:13" x14ac:dyDescent="0.2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</row>
    <row r="371" spans="1:13" x14ac:dyDescent="0.2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</row>
    <row r="372" spans="1:13" x14ac:dyDescent="0.2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</row>
    <row r="373" spans="1:13" x14ac:dyDescent="0.2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</row>
    <row r="374" spans="1:13" x14ac:dyDescent="0.2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</row>
    <row r="375" spans="1:13" x14ac:dyDescent="0.2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</row>
    <row r="376" spans="1:13" x14ac:dyDescent="0.2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</row>
    <row r="377" spans="1:13" x14ac:dyDescent="0.2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</row>
    <row r="378" spans="1:13" x14ac:dyDescent="0.2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</row>
    <row r="379" spans="1:13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</row>
    <row r="380" spans="1:13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</row>
    <row r="381" spans="1:13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</row>
    <row r="382" spans="1:13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</row>
    <row r="383" spans="1:13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</row>
    <row r="384" spans="1:13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</row>
    <row r="385" spans="1:13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</row>
  </sheetData>
  <mergeCells count="12">
    <mergeCell ref="A121:A122"/>
    <mergeCell ref="A156:A157"/>
    <mergeCell ref="C8:K8"/>
    <mergeCell ref="C37:K37"/>
    <mergeCell ref="C68:K68"/>
    <mergeCell ref="C81:K81"/>
    <mergeCell ref="C121:K121"/>
    <mergeCell ref="C156:K156"/>
    <mergeCell ref="A8:A9"/>
    <mergeCell ref="A37:A38"/>
    <mergeCell ref="A68:A69"/>
    <mergeCell ref="A81:A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tabSelected="1" topLeftCell="A106" zoomScale="120" zoomScaleNormal="120" workbookViewId="0">
      <selection activeCell="C23" sqref="C23"/>
    </sheetView>
  </sheetViews>
  <sheetFormatPr baseColWidth="10" defaultColWidth="11.42578125" defaultRowHeight="11.25" x14ac:dyDescent="0.2"/>
  <cols>
    <col min="1" max="1" width="28.5703125" style="2" bestFit="1" customWidth="1"/>
    <col min="2" max="11" width="9" style="2" customWidth="1"/>
    <col min="12" max="12" width="2.7109375" style="2" customWidth="1"/>
    <col min="13" max="13" width="30.7109375" style="2" bestFit="1" customWidth="1"/>
    <col min="14" max="14" width="9" style="2" customWidth="1"/>
    <col min="15" max="16384" width="11.42578125" style="2"/>
  </cols>
  <sheetData>
    <row r="1" spans="1:13" x14ac:dyDescent="0.2">
      <c r="A1" s="1" t="s">
        <v>0</v>
      </c>
    </row>
    <row r="3" spans="1:13" x14ac:dyDescent="0.2">
      <c r="A3" s="2" t="s">
        <v>1</v>
      </c>
      <c r="B3" s="78"/>
      <c r="C3" s="78">
        <v>0.1</v>
      </c>
      <c r="D3" s="78">
        <v>0.1</v>
      </c>
      <c r="E3" s="78">
        <v>0.1</v>
      </c>
      <c r="F3" s="78">
        <v>0.1</v>
      </c>
      <c r="G3" s="78">
        <v>0.1</v>
      </c>
      <c r="H3" s="78">
        <v>0.1</v>
      </c>
      <c r="I3" s="78">
        <v>0.1</v>
      </c>
      <c r="J3" s="78">
        <v>0.1</v>
      </c>
      <c r="K3" s="78">
        <v>0.1</v>
      </c>
    </row>
    <row r="4" spans="1:13" x14ac:dyDescent="0.2">
      <c r="A4" s="2" t="s">
        <v>2</v>
      </c>
      <c r="B4" s="79">
        <v>0.4</v>
      </c>
      <c r="C4" s="79">
        <v>0.4</v>
      </c>
      <c r="D4" s="79">
        <v>0.4</v>
      </c>
      <c r="E4" s="79">
        <v>0.4</v>
      </c>
      <c r="F4" s="79">
        <v>0.4</v>
      </c>
      <c r="G4" s="79">
        <v>0.4</v>
      </c>
      <c r="H4" s="79">
        <v>0.4</v>
      </c>
      <c r="I4" s="79">
        <v>0.4</v>
      </c>
      <c r="J4" s="79">
        <v>0.4</v>
      </c>
      <c r="K4" s="79">
        <v>0.4</v>
      </c>
    </row>
    <row r="5" spans="1:13" x14ac:dyDescent="0.2">
      <c r="A5" s="2" t="s">
        <v>135</v>
      </c>
      <c r="B5" s="79"/>
      <c r="C5" s="79">
        <v>0.05</v>
      </c>
      <c r="D5" s="79">
        <v>0.05</v>
      </c>
      <c r="E5" s="79">
        <v>0.05</v>
      </c>
      <c r="F5" s="79">
        <v>0.05</v>
      </c>
      <c r="G5" s="79">
        <v>0.05</v>
      </c>
      <c r="H5" s="79">
        <v>0.05</v>
      </c>
      <c r="I5" s="79">
        <v>0.05</v>
      </c>
      <c r="J5" s="79">
        <v>0.05</v>
      </c>
      <c r="K5" s="79">
        <v>0.05</v>
      </c>
    </row>
    <row r="6" spans="1:13" x14ac:dyDescent="0.2">
      <c r="A6" s="2" t="s">
        <v>136</v>
      </c>
      <c r="B6" s="79"/>
      <c r="C6" s="79">
        <v>0.08</v>
      </c>
      <c r="D6" s="79">
        <v>0.08</v>
      </c>
      <c r="E6" s="79">
        <v>0.08</v>
      </c>
      <c r="F6" s="79">
        <v>0.08</v>
      </c>
      <c r="G6" s="79">
        <v>0.08</v>
      </c>
      <c r="H6" s="79">
        <v>0.08</v>
      </c>
      <c r="I6" s="79">
        <v>0.08</v>
      </c>
      <c r="J6" s="79">
        <v>0.08</v>
      </c>
      <c r="K6" s="79">
        <v>0.08</v>
      </c>
    </row>
    <row r="7" spans="1:13" x14ac:dyDescent="0.2">
      <c r="C7" s="60"/>
      <c r="D7" s="60"/>
    </row>
    <row r="8" spans="1:13" x14ac:dyDescent="0.2">
      <c r="A8" s="232" t="s">
        <v>3</v>
      </c>
      <c r="B8" s="96"/>
      <c r="C8" s="97"/>
      <c r="D8" s="97"/>
      <c r="E8" s="97"/>
      <c r="F8" s="238" t="s">
        <v>4</v>
      </c>
      <c r="G8" s="238"/>
      <c r="H8" s="97"/>
      <c r="I8" s="97"/>
      <c r="J8" s="97"/>
      <c r="K8" s="98"/>
    </row>
    <row r="9" spans="1:13" x14ac:dyDescent="0.2">
      <c r="A9" s="233"/>
      <c r="B9" s="3">
        <v>2010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  <c r="K9" s="3">
        <v>2019</v>
      </c>
      <c r="M9" s="1" t="s">
        <v>5</v>
      </c>
    </row>
    <row r="10" spans="1:13" ht="11.25" customHeight="1" x14ac:dyDescent="0.2">
      <c r="A10" s="89" t="s">
        <v>6</v>
      </c>
      <c r="B10" s="99">
        <v>25000</v>
      </c>
      <c r="C10" s="99">
        <f>+B10*(1+C3)</f>
        <v>27500.000000000004</v>
      </c>
      <c r="D10" s="99">
        <f>+C10*(1+D3)</f>
        <v>30250.000000000007</v>
      </c>
      <c r="E10" s="99">
        <f>+D10*(1+E3)</f>
        <v>33275.000000000007</v>
      </c>
      <c r="F10" s="99">
        <f t="shared" ref="F10:K10" si="0">+E10*(1+F3)</f>
        <v>36602.500000000015</v>
      </c>
      <c r="G10" s="99">
        <f t="shared" si="0"/>
        <v>40262.750000000022</v>
      </c>
      <c r="H10" s="99">
        <f t="shared" si="0"/>
        <v>44289.025000000031</v>
      </c>
      <c r="I10" s="99">
        <f t="shared" si="0"/>
        <v>48717.927500000034</v>
      </c>
      <c r="J10" s="99">
        <f t="shared" si="0"/>
        <v>53589.720250000042</v>
      </c>
      <c r="K10" s="99">
        <f t="shared" si="0"/>
        <v>58948.692275000052</v>
      </c>
      <c r="M10" s="2" t="s">
        <v>151</v>
      </c>
    </row>
    <row r="11" spans="1:13" ht="11.25" customHeight="1" x14ac:dyDescent="0.2">
      <c r="A11" s="4" t="s">
        <v>82</v>
      </c>
      <c r="B11" s="95">
        <v>0</v>
      </c>
      <c r="C11" s="95">
        <f>2%*B41</f>
        <v>110.63611111111113</v>
      </c>
      <c r="D11" s="95">
        <f t="shared" ref="D11:K11" si="1">2%*C41</f>
        <v>158.83745852623451</v>
      </c>
      <c r="E11" s="95">
        <f t="shared" si="1"/>
        <v>213.86438724117215</v>
      </c>
      <c r="F11" s="95">
        <f t="shared" si="1"/>
        <v>275.26396919070964</v>
      </c>
      <c r="G11" s="95">
        <f t="shared" si="1"/>
        <v>343.70457583569367</v>
      </c>
      <c r="H11" s="95">
        <f t="shared" si="1"/>
        <v>419.937671007679</v>
      </c>
      <c r="I11" s="95">
        <f t="shared" si="1"/>
        <v>504.7926228887938</v>
      </c>
      <c r="J11" s="95">
        <f t="shared" si="1"/>
        <v>599.1846432484449</v>
      </c>
      <c r="K11" s="95">
        <f t="shared" si="1"/>
        <v>704.12355051145983</v>
      </c>
      <c r="M11" s="2" t="s">
        <v>150</v>
      </c>
    </row>
    <row r="12" spans="1:13" ht="11.25" customHeight="1" x14ac:dyDescent="0.2">
      <c r="A12" s="6" t="s">
        <v>149</v>
      </c>
      <c r="B12" s="95">
        <f>SUM(B10:B11)</f>
        <v>25000</v>
      </c>
      <c r="C12" s="95">
        <f t="shared" ref="C12" si="2">SUM(C10:C11)</f>
        <v>27610.636111111115</v>
      </c>
      <c r="D12" s="95">
        <f t="shared" ref="D12" si="3">SUM(D10:D11)</f>
        <v>30408.837458526243</v>
      </c>
      <c r="E12" s="95">
        <f t="shared" ref="E12" si="4">SUM(E10:E11)</f>
        <v>33488.864387241178</v>
      </c>
      <c r="F12" s="95">
        <f t="shared" ref="F12" si="5">SUM(F10:F11)</f>
        <v>36877.763969190724</v>
      </c>
      <c r="G12" s="95">
        <f t="shared" ref="G12" si="6">SUM(G10:G11)</f>
        <v>40606.454575835713</v>
      </c>
      <c r="H12" s="95">
        <f t="shared" ref="H12" si="7">SUM(H10:H11)</f>
        <v>44708.962671007706</v>
      </c>
      <c r="I12" s="95">
        <f t="shared" ref="I12" si="8">SUM(I10:I11)</f>
        <v>49222.72012288883</v>
      </c>
      <c r="J12" s="95">
        <f t="shared" ref="J12" si="9">SUM(J10:J11)</f>
        <v>54188.904893248487</v>
      </c>
      <c r="K12" s="95">
        <f t="shared" ref="K12" si="10">SUM(K10:K11)</f>
        <v>59652.815825511512</v>
      </c>
    </row>
    <row r="13" spans="1:13" ht="11.25" customHeight="1" x14ac:dyDescent="0.2">
      <c r="A13" s="4" t="s">
        <v>7</v>
      </c>
      <c r="B13" s="102">
        <v>0</v>
      </c>
      <c r="C13" s="102">
        <f>+B15</f>
        <v>625</v>
      </c>
      <c r="D13" s="102">
        <f t="shared" ref="D13:K13" si="11">+C15</f>
        <v>690.2659027777778</v>
      </c>
      <c r="E13" s="102">
        <f t="shared" si="11"/>
        <v>760.22093646315614</v>
      </c>
      <c r="F13" s="102">
        <f t="shared" si="11"/>
        <v>837.22160968102935</v>
      </c>
      <c r="G13" s="102">
        <f t="shared" si="11"/>
        <v>921.94409922976809</v>
      </c>
      <c r="H13" s="102">
        <f t="shared" si="11"/>
        <v>1015.1613643958927</v>
      </c>
      <c r="I13" s="102">
        <f t="shared" si="11"/>
        <v>1117.7240667751926</v>
      </c>
      <c r="J13" s="102">
        <f t="shared" si="11"/>
        <v>1230.5680030722208</v>
      </c>
      <c r="K13" s="102">
        <f t="shared" si="11"/>
        <v>1354.7226223312121</v>
      </c>
      <c r="M13" s="2" t="s">
        <v>8</v>
      </c>
    </row>
    <row r="14" spans="1:13" ht="11.25" customHeight="1" x14ac:dyDescent="0.2">
      <c r="A14" s="4" t="s">
        <v>9</v>
      </c>
      <c r="B14" s="95">
        <f>+B16+B15-B13</f>
        <v>15625</v>
      </c>
      <c r="C14" s="95">
        <f t="shared" ref="C14:K14" si="12">+C16+C15-C13</f>
        <v>16631.647569444445</v>
      </c>
      <c r="D14" s="95">
        <f t="shared" si="12"/>
        <v>18315.257508801125</v>
      </c>
      <c r="E14" s="95">
        <f t="shared" si="12"/>
        <v>20170.319305562578</v>
      </c>
      <c r="F14" s="95">
        <f t="shared" si="12"/>
        <v>22211.380871063171</v>
      </c>
      <c r="G14" s="95">
        <f t="shared" si="12"/>
        <v>24457.090010667551</v>
      </c>
      <c r="H14" s="95">
        <f t="shared" si="12"/>
        <v>26927.940304983924</v>
      </c>
      <c r="I14" s="95">
        <f t="shared" si="12"/>
        <v>29646.476010030325</v>
      </c>
      <c r="J14" s="95">
        <f t="shared" si="12"/>
        <v>32637.49755520808</v>
      </c>
      <c r="K14" s="95">
        <f t="shared" si="12"/>
        <v>35928.287268613487</v>
      </c>
      <c r="M14" s="2" t="s">
        <v>10</v>
      </c>
    </row>
    <row r="15" spans="1:13" ht="11.25" customHeight="1" x14ac:dyDescent="0.2">
      <c r="A15" s="4" t="s">
        <v>11</v>
      </c>
      <c r="B15" s="49">
        <f>+B43</f>
        <v>625</v>
      </c>
      <c r="C15" s="49">
        <f t="shared" ref="C15:K15" si="13">+C43</f>
        <v>690.2659027777778</v>
      </c>
      <c r="D15" s="49">
        <f t="shared" si="13"/>
        <v>760.22093646315614</v>
      </c>
      <c r="E15" s="49">
        <f t="shared" si="13"/>
        <v>837.22160968102935</v>
      </c>
      <c r="F15" s="49">
        <f t="shared" si="13"/>
        <v>921.94409922976809</v>
      </c>
      <c r="G15" s="49">
        <f t="shared" si="13"/>
        <v>1015.1613643958927</v>
      </c>
      <c r="H15" s="49">
        <f t="shared" si="13"/>
        <v>1117.7240667751926</v>
      </c>
      <c r="I15" s="49">
        <f t="shared" si="13"/>
        <v>1230.5680030722208</v>
      </c>
      <c r="J15" s="49">
        <f t="shared" si="13"/>
        <v>1354.7226223312121</v>
      </c>
      <c r="K15" s="49">
        <f t="shared" si="13"/>
        <v>1491.3203956377877</v>
      </c>
      <c r="M15" s="2" t="s">
        <v>137</v>
      </c>
    </row>
    <row r="16" spans="1:13" ht="11.25" customHeight="1" x14ac:dyDescent="0.2">
      <c r="A16" s="6" t="s">
        <v>12</v>
      </c>
      <c r="B16" s="100">
        <f>+B12*(1-B4)</f>
        <v>15000</v>
      </c>
      <c r="C16" s="100">
        <f t="shared" ref="C16:K16" si="14">+C12*(1-C4)</f>
        <v>16566.381666666668</v>
      </c>
      <c r="D16" s="100">
        <f t="shared" si="14"/>
        <v>18245.302475115746</v>
      </c>
      <c r="E16" s="100">
        <f t="shared" si="14"/>
        <v>20093.318632344704</v>
      </c>
      <c r="F16" s="100">
        <f t="shared" si="14"/>
        <v>22126.658381514433</v>
      </c>
      <c r="G16" s="100">
        <f t="shared" si="14"/>
        <v>24363.872745501427</v>
      </c>
      <c r="H16" s="100">
        <f t="shared" si="14"/>
        <v>26825.377602604622</v>
      </c>
      <c r="I16" s="100">
        <f t="shared" si="14"/>
        <v>29533.632073733297</v>
      </c>
      <c r="J16" s="100">
        <f t="shared" si="14"/>
        <v>32513.342935949091</v>
      </c>
      <c r="K16" s="100">
        <f t="shared" si="14"/>
        <v>35791.689495306906</v>
      </c>
    </row>
    <row r="17" spans="1:13" ht="11.25" customHeight="1" x14ac:dyDescent="0.2">
      <c r="A17" s="8" t="s">
        <v>13</v>
      </c>
      <c r="B17" s="99">
        <f>+B12*B4</f>
        <v>10000</v>
      </c>
      <c r="C17" s="99">
        <f t="shared" ref="C17:K17" si="15">+C12*C4</f>
        <v>11044.254444444447</v>
      </c>
      <c r="D17" s="99">
        <f t="shared" si="15"/>
        <v>12163.534983410498</v>
      </c>
      <c r="E17" s="99">
        <f t="shared" si="15"/>
        <v>13395.545754896471</v>
      </c>
      <c r="F17" s="99">
        <f t="shared" si="15"/>
        <v>14751.105587676291</v>
      </c>
      <c r="G17" s="99">
        <f t="shared" si="15"/>
        <v>16242.581830334286</v>
      </c>
      <c r="H17" s="99">
        <f t="shared" si="15"/>
        <v>17883.585068403085</v>
      </c>
      <c r="I17" s="99">
        <f t="shared" si="15"/>
        <v>19689.088049155533</v>
      </c>
      <c r="J17" s="99">
        <f t="shared" si="15"/>
        <v>21675.561957299396</v>
      </c>
      <c r="K17" s="99">
        <f t="shared" si="15"/>
        <v>23861.126330204606</v>
      </c>
      <c r="M17" s="2" t="s">
        <v>155</v>
      </c>
    </row>
    <row r="18" spans="1:13" ht="11.25" customHeight="1" x14ac:dyDescent="0.2">
      <c r="A18" s="4" t="s">
        <v>14</v>
      </c>
      <c r="B18" s="49">
        <v>2000</v>
      </c>
      <c r="C18" s="49">
        <f>+B18*(1+C5)</f>
        <v>2100</v>
      </c>
      <c r="D18" s="49">
        <f t="shared" ref="D18:K18" si="16">+C18*(1+D5)</f>
        <v>2205</v>
      </c>
      <c r="E18" s="49">
        <f t="shared" si="16"/>
        <v>2315.25</v>
      </c>
      <c r="F18" s="49">
        <f t="shared" si="16"/>
        <v>2431.0125000000003</v>
      </c>
      <c r="G18" s="49">
        <f t="shared" si="16"/>
        <v>2552.5631250000006</v>
      </c>
      <c r="H18" s="49">
        <f t="shared" si="16"/>
        <v>2680.1912812500009</v>
      </c>
      <c r="I18" s="49">
        <f t="shared" si="16"/>
        <v>2814.2008453125009</v>
      </c>
      <c r="J18" s="49">
        <f t="shared" si="16"/>
        <v>2954.9108875781262</v>
      </c>
      <c r="K18" s="49">
        <f t="shared" si="16"/>
        <v>3102.6564319570325</v>
      </c>
      <c r="M18" s="2" t="s">
        <v>156</v>
      </c>
    </row>
    <row r="19" spans="1:13" ht="11.25" customHeight="1" x14ac:dyDescent="0.2">
      <c r="A19" s="10" t="s">
        <v>15</v>
      </c>
      <c r="B19" s="74">
        <v>1000</v>
      </c>
      <c r="C19" s="74">
        <f>+B19*(1+C6)</f>
        <v>1080</v>
      </c>
      <c r="D19" s="74">
        <f t="shared" ref="D19:K19" si="17">+C19*(1+D6)</f>
        <v>1166.4000000000001</v>
      </c>
      <c r="E19" s="74">
        <f t="shared" si="17"/>
        <v>1259.7120000000002</v>
      </c>
      <c r="F19" s="74">
        <f t="shared" si="17"/>
        <v>1360.4889600000004</v>
      </c>
      <c r="G19" s="74">
        <f t="shared" si="17"/>
        <v>1469.3280768000004</v>
      </c>
      <c r="H19" s="74">
        <f t="shared" si="17"/>
        <v>1586.8743229440006</v>
      </c>
      <c r="I19" s="74">
        <f t="shared" si="17"/>
        <v>1713.8242687795207</v>
      </c>
      <c r="J19" s="74">
        <f t="shared" si="17"/>
        <v>1850.9302102818824</v>
      </c>
      <c r="K19" s="74">
        <f t="shared" si="17"/>
        <v>1999.0046271044332</v>
      </c>
      <c r="M19" s="2" t="s">
        <v>157</v>
      </c>
    </row>
    <row r="20" spans="1:13" ht="11.25" customHeight="1" x14ac:dyDescent="0.2">
      <c r="A20" s="8" t="s">
        <v>16</v>
      </c>
      <c r="B20" s="95">
        <f>+B17-B18-B19</f>
        <v>7000</v>
      </c>
      <c r="C20" s="95">
        <f t="shared" ref="C20:K20" si="18">+C17-C18-C19</f>
        <v>7864.2544444444466</v>
      </c>
      <c r="D20" s="95">
        <f t="shared" si="18"/>
        <v>8792.1349834104985</v>
      </c>
      <c r="E20" s="95">
        <f t="shared" si="18"/>
        <v>9820.5837548964719</v>
      </c>
      <c r="F20" s="95">
        <f t="shared" si="18"/>
        <v>10959.60412767629</v>
      </c>
      <c r="G20" s="95">
        <f t="shared" si="18"/>
        <v>12220.690628534285</v>
      </c>
      <c r="H20" s="95">
        <f t="shared" si="18"/>
        <v>13616.519464209083</v>
      </c>
      <c r="I20" s="95">
        <f t="shared" si="18"/>
        <v>15161.06293506351</v>
      </c>
      <c r="J20" s="95">
        <f t="shared" si="18"/>
        <v>16869.720859439385</v>
      </c>
      <c r="K20" s="95">
        <f t="shared" si="18"/>
        <v>18759.465271143141</v>
      </c>
    </row>
    <row r="21" spans="1:13" ht="11.25" customHeight="1" x14ac:dyDescent="0.2">
      <c r="A21" s="10" t="s">
        <v>17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2" t="s">
        <v>158</v>
      </c>
    </row>
    <row r="22" spans="1:13" ht="11.25" customHeight="1" x14ac:dyDescent="0.2">
      <c r="A22" s="8" t="s">
        <v>18</v>
      </c>
      <c r="B22" s="102">
        <f>+B20-B21</f>
        <v>7000</v>
      </c>
      <c r="C22" s="102">
        <f t="shared" ref="C22:K22" si="19">+C20-C21</f>
        <v>7864.2544444444466</v>
      </c>
      <c r="D22" s="102">
        <f t="shared" si="19"/>
        <v>8792.1349834104985</v>
      </c>
      <c r="E22" s="102">
        <f t="shared" si="19"/>
        <v>9820.5837548964719</v>
      </c>
      <c r="F22" s="102">
        <f t="shared" si="19"/>
        <v>10959.60412767629</v>
      </c>
      <c r="G22" s="102">
        <f t="shared" si="19"/>
        <v>12220.690628534285</v>
      </c>
      <c r="H22" s="102">
        <f t="shared" si="19"/>
        <v>13616.519464209083</v>
      </c>
      <c r="I22" s="102">
        <f t="shared" si="19"/>
        <v>15161.06293506351</v>
      </c>
      <c r="J22" s="102">
        <f t="shared" si="19"/>
        <v>16869.720859439385</v>
      </c>
      <c r="K22" s="102">
        <f t="shared" si="19"/>
        <v>18759.465271143141</v>
      </c>
      <c r="M22" s="2" t="s">
        <v>39</v>
      </c>
    </row>
    <row r="23" spans="1:13" x14ac:dyDescent="0.2">
      <c r="A23" s="10" t="s">
        <v>19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M23" s="2" t="s">
        <v>159</v>
      </c>
    </row>
    <row r="24" spans="1:13" ht="11.25" customHeight="1" x14ac:dyDescent="0.2">
      <c r="A24" s="8" t="s">
        <v>20</v>
      </c>
      <c r="B24" s="102">
        <f>+B22-B23</f>
        <v>7000</v>
      </c>
      <c r="C24" s="102">
        <f t="shared" ref="C24:K24" si="20">+C22-C23</f>
        <v>7864.2544444444466</v>
      </c>
      <c r="D24" s="102">
        <f t="shared" si="20"/>
        <v>8792.1349834104985</v>
      </c>
      <c r="E24" s="102">
        <f t="shared" si="20"/>
        <v>9820.5837548964719</v>
      </c>
      <c r="F24" s="102">
        <f t="shared" si="20"/>
        <v>10959.60412767629</v>
      </c>
      <c r="G24" s="102">
        <f t="shared" si="20"/>
        <v>12220.690628534285</v>
      </c>
      <c r="H24" s="102">
        <f t="shared" si="20"/>
        <v>13616.519464209083</v>
      </c>
      <c r="I24" s="102">
        <f t="shared" si="20"/>
        <v>15161.06293506351</v>
      </c>
      <c r="J24" s="102">
        <f t="shared" si="20"/>
        <v>16869.720859439385</v>
      </c>
      <c r="K24" s="102">
        <f t="shared" si="20"/>
        <v>18759.465271143141</v>
      </c>
    </row>
    <row r="25" spans="1:13" ht="11.25" customHeight="1" x14ac:dyDescent="0.2">
      <c r="A25" s="10" t="s">
        <v>21</v>
      </c>
      <c r="B25" s="110">
        <f>+B24*36.25%</f>
        <v>2537.5</v>
      </c>
      <c r="C25" s="110">
        <f t="shared" ref="C25:K25" si="21">+C24*36.25%</f>
        <v>2850.7922361111118</v>
      </c>
      <c r="D25" s="110">
        <f t="shared" si="21"/>
        <v>3187.1489314863056</v>
      </c>
      <c r="E25" s="110">
        <f t="shared" si="21"/>
        <v>3559.9616111499708</v>
      </c>
      <c r="F25" s="110">
        <f t="shared" si="21"/>
        <v>3972.8564962826549</v>
      </c>
      <c r="G25" s="110">
        <f t="shared" si="21"/>
        <v>4430.0003528436782</v>
      </c>
      <c r="H25" s="110">
        <f t="shared" si="21"/>
        <v>4935.9883057757925</v>
      </c>
      <c r="I25" s="110">
        <f t="shared" si="21"/>
        <v>5495.8853139605226</v>
      </c>
      <c r="J25" s="110">
        <f t="shared" si="21"/>
        <v>6115.2738115467773</v>
      </c>
      <c r="K25" s="110">
        <f t="shared" si="21"/>
        <v>6800.3061607893887</v>
      </c>
      <c r="M25" s="2" t="s">
        <v>22</v>
      </c>
    </row>
    <row r="26" spans="1:13" ht="11.25" customHeight="1" x14ac:dyDescent="0.2">
      <c r="A26" s="12" t="s">
        <v>23</v>
      </c>
      <c r="B26" s="102">
        <f>+B24-B25</f>
        <v>4462.5</v>
      </c>
      <c r="C26" s="102">
        <f t="shared" ref="C26:K26" si="22">+C24-C25</f>
        <v>5013.4622083333343</v>
      </c>
      <c r="D26" s="102">
        <f t="shared" si="22"/>
        <v>5604.9860519241929</v>
      </c>
      <c r="E26" s="102">
        <f t="shared" si="22"/>
        <v>6260.622143746501</v>
      </c>
      <c r="F26" s="102">
        <f t="shared" si="22"/>
        <v>6986.7476313936349</v>
      </c>
      <c r="G26" s="102">
        <f t="shared" si="22"/>
        <v>7790.6902756906065</v>
      </c>
      <c r="H26" s="102">
        <f t="shared" si="22"/>
        <v>8680.5311584332903</v>
      </c>
      <c r="I26" s="102">
        <f t="shared" si="22"/>
        <v>9665.1776211029864</v>
      </c>
      <c r="J26" s="102">
        <f t="shared" si="22"/>
        <v>10754.447047892609</v>
      </c>
      <c r="K26" s="102">
        <f t="shared" si="22"/>
        <v>11959.159110353752</v>
      </c>
    </row>
    <row r="27" spans="1:13" ht="11.25" customHeight="1" x14ac:dyDescent="0.2">
      <c r="A27" s="10" t="s">
        <v>24</v>
      </c>
      <c r="B27" s="109">
        <f>+B26*60%</f>
        <v>2677.5</v>
      </c>
      <c r="C27" s="109">
        <f t="shared" ref="C27:K27" si="23">+C26*60%</f>
        <v>3008.0773250000007</v>
      </c>
      <c r="D27" s="109">
        <f t="shared" si="23"/>
        <v>3362.9916311545157</v>
      </c>
      <c r="E27" s="109">
        <f t="shared" si="23"/>
        <v>3756.3732862479005</v>
      </c>
      <c r="F27" s="109">
        <f t="shared" si="23"/>
        <v>4192.0485788361812</v>
      </c>
      <c r="G27" s="109">
        <f t="shared" si="23"/>
        <v>4674.4141654143641</v>
      </c>
      <c r="H27" s="109">
        <f t="shared" si="23"/>
        <v>5208.3186950599738</v>
      </c>
      <c r="I27" s="109">
        <f t="shared" si="23"/>
        <v>5799.1065726617917</v>
      </c>
      <c r="J27" s="109">
        <f t="shared" si="23"/>
        <v>6452.6682287355652</v>
      </c>
      <c r="K27" s="109">
        <f t="shared" si="23"/>
        <v>7175.4954662122509</v>
      </c>
      <c r="M27" s="2" t="s">
        <v>146</v>
      </c>
    </row>
    <row r="28" spans="1:13" ht="11.25" customHeight="1" x14ac:dyDescent="0.2">
      <c r="A28" s="6" t="s">
        <v>25</v>
      </c>
      <c r="B28" s="111">
        <f>+B26-B27</f>
        <v>1785</v>
      </c>
      <c r="C28" s="111">
        <f t="shared" ref="C28:K28" si="24">+C26-C27</f>
        <v>2005.3848833333336</v>
      </c>
      <c r="D28" s="111">
        <f t="shared" si="24"/>
        <v>2241.9944207696772</v>
      </c>
      <c r="E28" s="111">
        <f t="shared" si="24"/>
        <v>2504.2488574986005</v>
      </c>
      <c r="F28" s="111">
        <f t="shared" si="24"/>
        <v>2794.6990525574538</v>
      </c>
      <c r="G28" s="111">
        <f t="shared" si="24"/>
        <v>3116.2761102762424</v>
      </c>
      <c r="H28" s="111">
        <f t="shared" si="24"/>
        <v>3472.2124633733165</v>
      </c>
      <c r="I28" s="111">
        <f t="shared" si="24"/>
        <v>3866.0710484411948</v>
      </c>
      <c r="J28" s="111">
        <f t="shared" si="24"/>
        <v>4301.7788191570435</v>
      </c>
      <c r="K28" s="111">
        <f t="shared" si="24"/>
        <v>4783.6636441415012</v>
      </c>
    </row>
    <row r="29" spans="1:13" ht="11.25" customHeight="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3" ht="11.25" customHeight="1" x14ac:dyDescent="0.2">
      <c r="A30" s="1" t="s">
        <v>26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</row>
    <row r="31" spans="1:13" ht="11.25" customHeight="1" x14ac:dyDescent="0.2">
      <c r="A31" s="2" t="s">
        <v>27</v>
      </c>
      <c r="B31" s="72">
        <v>30</v>
      </c>
      <c r="C31" s="72">
        <v>30</v>
      </c>
      <c r="D31" s="72">
        <v>30</v>
      </c>
      <c r="E31" s="72">
        <v>30</v>
      </c>
      <c r="F31" s="72">
        <v>30</v>
      </c>
      <c r="G31" s="72">
        <v>30</v>
      </c>
      <c r="H31" s="72">
        <v>30</v>
      </c>
      <c r="I31" s="72">
        <v>30</v>
      </c>
      <c r="J31" s="72">
        <v>30</v>
      </c>
      <c r="K31" s="72">
        <v>30</v>
      </c>
    </row>
    <row r="32" spans="1:13" ht="11.25" customHeight="1" x14ac:dyDescent="0.2">
      <c r="A32" s="2" t="s">
        <v>28</v>
      </c>
      <c r="B32" s="72">
        <v>15</v>
      </c>
      <c r="C32" s="72">
        <v>15</v>
      </c>
      <c r="D32" s="72">
        <v>15</v>
      </c>
      <c r="E32" s="72">
        <v>15</v>
      </c>
      <c r="F32" s="72">
        <v>15</v>
      </c>
      <c r="G32" s="72">
        <v>15</v>
      </c>
      <c r="H32" s="72">
        <v>15</v>
      </c>
      <c r="I32" s="72">
        <v>15</v>
      </c>
      <c r="J32" s="72">
        <v>15</v>
      </c>
      <c r="K32" s="72">
        <v>15</v>
      </c>
    </row>
    <row r="33" spans="1:13" ht="11.25" customHeight="1" x14ac:dyDescent="0.2">
      <c r="A33" s="2" t="s">
        <v>29</v>
      </c>
      <c r="B33" s="72">
        <v>50</v>
      </c>
      <c r="C33" s="72">
        <v>50</v>
      </c>
      <c r="D33" s="72">
        <v>50</v>
      </c>
      <c r="E33" s="72">
        <v>50</v>
      </c>
      <c r="F33" s="72">
        <v>50</v>
      </c>
      <c r="G33" s="72">
        <v>50</v>
      </c>
      <c r="H33" s="72">
        <v>50</v>
      </c>
      <c r="I33" s="72">
        <v>50</v>
      </c>
      <c r="J33" s="72">
        <v>50</v>
      </c>
      <c r="K33" s="72">
        <v>50</v>
      </c>
    </row>
    <row r="34" spans="1:13" ht="11.25" customHeight="1" x14ac:dyDescent="0.2">
      <c r="A34" s="2" t="s">
        <v>138</v>
      </c>
      <c r="B34" s="76">
        <v>0.1</v>
      </c>
      <c r="C34" s="76">
        <v>0.1</v>
      </c>
      <c r="D34" s="76">
        <v>0.1</v>
      </c>
      <c r="E34" s="76">
        <v>0.1</v>
      </c>
      <c r="F34" s="76">
        <v>0.1</v>
      </c>
      <c r="G34" s="76">
        <v>0.1</v>
      </c>
      <c r="H34" s="76">
        <v>0.1</v>
      </c>
      <c r="I34" s="76">
        <v>0.1</v>
      </c>
      <c r="J34" s="76">
        <v>0.1</v>
      </c>
      <c r="K34" s="76">
        <v>0.1</v>
      </c>
    </row>
    <row r="35" spans="1:13" ht="11.25" customHeight="1" x14ac:dyDescent="0.2">
      <c r="A35" s="2" t="s">
        <v>139</v>
      </c>
      <c r="B35" s="76">
        <v>0.12</v>
      </c>
      <c r="C35" s="76">
        <v>0.12</v>
      </c>
      <c r="D35" s="76">
        <v>0.12</v>
      </c>
      <c r="E35" s="76">
        <v>0.12</v>
      </c>
      <c r="F35" s="76">
        <v>0.12</v>
      </c>
      <c r="G35" s="76">
        <v>0.12</v>
      </c>
      <c r="H35" s="76">
        <v>0.12</v>
      </c>
      <c r="I35" s="76">
        <v>0.12</v>
      </c>
      <c r="J35" s="76">
        <v>0.12</v>
      </c>
      <c r="K35" s="76">
        <v>0.12</v>
      </c>
    </row>
    <row r="36" spans="1:13" ht="11.25" customHeight="1" x14ac:dyDescent="0.2"/>
    <row r="37" spans="1:13" ht="11.25" customHeight="1" x14ac:dyDescent="0.2">
      <c r="A37" s="232" t="s">
        <v>31</v>
      </c>
      <c r="B37" s="96"/>
      <c r="C37" s="97"/>
      <c r="D37" s="97"/>
      <c r="E37" s="97"/>
      <c r="F37" s="238" t="s">
        <v>4</v>
      </c>
      <c r="G37" s="238"/>
      <c r="H37" s="97"/>
      <c r="I37" s="97"/>
      <c r="J37" s="97"/>
      <c r="K37" s="98"/>
    </row>
    <row r="38" spans="1:13" ht="11.25" customHeight="1" x14ac:dyDescent="0.2">
      <c r="A38" s="233"/>
      <c r="B38" s="3">
        <v>2010</v>
      </c>
      <c r="C38" s="3">
        <v>2011</v>
      </c>
      <c r="D38" s="3">
        <v>2012</v>
      </c>
      <c r="E38" s="3">
        <v>2013</v>
      </c>
      <c r="F38" s="3">
        <v>2014</v>
      </c>
      <c r="G38" s="3">
        <v>2015</v>
      </c>
      <c r="H38" s="3">
        <v>2016</v>
      </c>
      <c r="I38" s="3">
        <v>2017</v>
      </c>
      <c r="J38" s="3">
        <v>2018</v>
      </c>
      <c r="K38" s="3">
        <v>2019</v>
      </c>
    </row>
    <row r="39" spans="1:13" ht="11.25" customHeight="1" x14ac:dyDescent="0.2">
      <c r="A39" s="17" t="s">
        <v>32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3" ht="11.25" customHeight="1" x14ac:dyDescent="0.2">
      <c r="A40" s="20" t="s">
        <v>33</v>
      </c>
      <c r="B40" s="101">
        <f>+MAX(B10*5%,1000)</f>
        <v>1250</v>
      </c>
      <c r="C40" s="101">
        <f t="shared" ref="C40:K40" si="25">+MAX(C10*5%,1000)</f>
        <v>1375.0000000000002</v>
      </c>
      <c r="D40" s="101">
        <f t="shared" si="25"/>
        <v>1512.5000000000005</v>
      </c>
      <c r="E40" s="101">
        <f t="shared" si="25"/>
        <v>1663.7500000000005</v>
      </c>
      <c r="F40" s="101">
        <f t="shared" si="25"/>
        <v>1830.1250000000009</v>
      </c>
      <c r="G40" s="101">
        <f t="shared" si="25"/>
        <v>2013.1375000000012</v>
      </c>
      <c r="H40" s="101">
        <f t="shared" si="25"/>
        <v>2214.4512500000014</v>
      </c>
      <c r="I40" s="101">
        <f t="shared" si="25"/>
        <v>2435.8963750000016</v>
      </c>
      <c r="J40" s="101">
        <f t="shared" si="25"/>
        <v>2679.4860125000023</v>
      </c>
      <c r="K40" s="101">
        <f t="shared" si="25"/>
        <v>2947.4346137500029</v>
      </c>
      <c r="M40" s="2" t="s">
        <v>168</v>
      </c>
    </row>
    <row r="41" spans="1:13" ht="11.25" customHeight="1" x14ac:dyDescent="0.2">
      <c r="A41" s="20" t="s">
        <v>34</v>
      </c>
      <c r="B41" s="95">
        <f>+B118</f>
        <v>5531.8055555555566</v>
      </c>
      <c r="C41" s="95">
        <f t="shared" ref="C41:K41" si="26">+C118</f>
        <v>7941.8729263117257</v>
      </c>
      <c r="D41" s="95">
        <f t="shared" si="26"/>
        <v>10693.219362058608</v>
      </c>
      <c r="E41" s="95">
        <f t="shared" si="26"/>
        <v>13763.198459535481</v>
      </c>
      <c r="F41" s="95">
        <f t="shared" si="26"/>
        <v>17185.228791784684</v>
      </c>
      <c r="G41" s="95">
        <f t="shared" si="26"/>
        <v>20996.883550383951</v>
      </c>
      <c r="H41" s="95">
        <f t="shared" si="26"/>
        <v>25239.631144439689</v>
      </c>
      <c r="I41" s="95">
        <f t="shared" si="26"/>
        <v>29959.232162422246</v>
      </c>
      <c r="J41" s="95">
        <f t="shared" si="26"/>
        <v>35206.177525572988</v>
      </c>
      <c r="K41" s="95">
        <f t="shared" si="26"/>
        <v>41036.170991112325</v>
      </c>
    </row>
    <row r="42" spans="1:13" ht="11.25" customHeight="1" x14ac:dyDescent="0.2">
      <c r="A42" s="20" t="s">
        <v>35</v>
      </c>
      <c r="B42" s="103">
        <f>+(B10/360)*B31</f>
        <v>2083.3333333333335</v>
      </c>
      <c r="C42" s="103">
        <f t="shared" ref="C42:K42" si="27">+(C10/360)*C31</f>
        <v>2291.666666666667</v>
      </c>
      <c r="D42" s="103">
        <f t="shared" si="27"/>
        <v>2520.8333333333339</v>
      </c>
      <c r="E42" s="103">
        <f t="shared" si="27"/>
        <v>2772.916666666667</v>
      </c>
      <c r="F42" s="103">
        <f t="shared" si="27"/>
        <v>3050.2083333333348</v>
      </c>
      <c r="G42" s="103">
        <f t="shared" si="27"/>
        <v>3355.2291666666683</v>
      </c>
      <c r="H42" s="103">
        <f t="shared" si="27"/>
        <v>3690.7520833333356</v>
      </c>
      <c r="I42" s="103">
        <f t="shared" si="27"/>
        <v>4059.8272916666697</v>
      </c>
      <c r="J42" s="103">
        <f t="shared" si="27"/>
        <v>4465.8100208333371</v>
      </c>
      <c r="K42" s="103">
        <f t="shared" si="27"/>
        <v>4912.3910229166704</v>
      </c>
    </row>
    <row r="43" spans="1:13" ht="11.25" customHeight="1" x14ac:dyDescent="0.2">
      <c r="A43" s="20" t="s">
        <v>36</v>
      </c>
      <c r="B43" s="103">
        <f>+(B16/360)*B32</f>
        <v>625</v>
      </c>
      <c r="C43" s="103">
        <f>+(C16/360)*C32</f>
        <v>690.2659027777778</v>
      </c>
      <c r="D43" s="103">
        <f t="shared" ref="D43:K43" si="28">+(D16/360)*D32</f>
        <v>760.22093646315614</v>
      </c>
      <c r="E43" s="103">
        <f t="shared" si="28"/>
        <v>837.22160968102935</v>
      </c>
      <c r="F43" s="103">
        <f t="shared" si="28"/>
        <v>921.94409922976809</v>
      </c>
      <c r="G43" s="103">
        <f t="shared" si="28"/>
        <v>1015.1613643958927</v>
      </c>
      <c r="H43" s="103">
        <f t="shared" si="28"/>
        <v>1117.7240667751926</v>
      </c>
      <c r="I43" s="103">
        <f t="shared" si="28"/>
        <v>1230.5680030722208</v>
      </c>
      <c r="J43" s="103">
        <f t="shared" si="28"/>
        <v>1354.7226223312121</v>
      </c>
      <c r="K43" s="103">
        <f t="shared" si="28"/>
        <v>1491.3203956377877</v>
      </c>
    </row>
    <row r="44" spans="1:13" ht="11.25" customHeight="1" x14ac:dyDescent="0.2">
      <c r="A44" s="21" t="s">
        <v>37</v>
      </c>
      <c r="B44" s="54">
        <f>SUM(B40:B43)</f>
        <v>9490.1388888888905</v>
      </c>
      <c r="C44" s="54">
        <f t="shared" ref="C44:K44" si="29">SUM(C40:C43)</f>
        <v>12298.805495756169</v>
      </c>
      <c r="D44" s="54">
        <f t="shared" si="29"/>
        <v>15486.773631855098</v>
      </c>
      <c r="E44" s="54">
        <f t="shared" si="29"/>
        <v>19037.086735883178</v>
      </c>
      <c r="F44" s="54">
        <f t="shared" si="29"/>
        <v>22987.506224347788</v>
      </c>
      <c r="G44" s="54">
        <f t="shared" si="29"/>
        <v>27380.411581446511</v>
      </c>
      <c r="H44" s="54">
        <f t="shared" si="29"/>
        <v>32262.558544548221</v>
      </c>
      <c r="I44" s="54">
        <f t="shared" si="29"/>
        <v>37685.52383216114</v>
      </c>
      <c r="J44" s="54">
        <f t="shared" si="29"/>
        <v>43706.196181237538</v>
      </c>
      <c r="K44" s="54">
        <f t="shared" si="29"/>
        <v>50387.317023416792</v>
      </c>
    </row>
    <row r="45" spans="1:13" ht="11.25" customHeight="1" x14ac:dyDescent="0.2">
      <c r="A45" s="20" t="s">
        <v>38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1:13" ht="11.25" customHeight="1" x14ac:dyDescent="0.2">
      <c r="A46" s="20" t="s">
        <v>40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1:13" ht="11.25" customHeight="1" x14ac:dyDescent="0.2">
      <c r="A47" s="21" t="s">
        <v>41</v>
      </c>
      <c r="B47" s="105">
        <f>SUM(B45:B46)</f>
        <v>0</v>
      </c>
      <c r="C47" s="105">
        <f t="shared" ref="C47:K47" si="30">SUM(C45:C46)</f>
        <v>0</v>
      </c>
      <c r="D47" s="105">
        <f t="shared" si="30"/>
        <v>0</v>
      </c>
      <c r="E47" s="105">
        <f t="shared" si="30"/>
        <v>0</v>
      </c>
      <c r="F47" s="105">
        <f t="shared" si="30"/>
        <v>0</v>
      </c>
      <c r="G47" s="105">
        <f t="shared" si="30"/>
        <v>0</v>
      </c>
      <c r="H47" s="105">
        <f t="shared" si="30"/>
        <v>0</v>
      </c>
      <c r="I47" s="105">
        <f t="shared" si="30"/>
        <v>0</v>
      </c>
      <c r="J47" s="105">
        <f t="shared" si="30"/>
        <v>0</v>
      </c>
      <c r="K47" s="105">
        <f t="shared" si="30"/>
        <v>0</v>
      </c>
    </row>
    <row r="48" spans="1:13" ht="11.25" customHeight="1" x14ac:dyDescent="0.2">
      <c r="A48" s="21" t="s">
        <v>42</v>
      </c>
      <c r="B48" s="55">
        <f>+B44+B47</f>
        <v>9490.1388888888905</v>
      </c>
      <c r="C48" s="55">
        <f t="shared" ref="C48:K48" si="31">+C44+C47</f>
        <v>12298.805495756169</v>
      </c>
      <c r="D48" s="55">
        <f t="shared" si="31"/>
        <v>15486.773631855098</v>
      </c>
      <c r="E48" s="55">
        <f t="shared" si="31"/>
        <v>19037.086735883178</v>
      </c>
      <c r="F48" s="55">
        <f t="shared" si="31"/>
        <v>22987.506224347788</v>
      </c>
      <c r="G48" s="55">
        <f t="shared" si="31"/>
        <v>27380.411581446511</v>
      </c>
      <c r="H48" s="55">
        <f t="shared" si="31"/>
        <v>32262.558544548221</v>
      </c>
      <c r="I48" s="55">
        <f t="shared" si="31"/>
        <v>37685.52383216114</v>
      </c>
      <c r="J48" s="55">
        <f t="shared" si="31"/>
        <v>43706.196181237538</v>
      </c>
      <c r="K48" s="55">
        <f t="shared" si="31"/>
        <v>50387.317023416792</v>
      </c>
    </row>
    <row r="49" spans="1:11" ht="11.25" customHeight="1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1.25" customHeight="1" x14ac:dyDescent="0.2">
      <c r="A50" s="35" t="s">
        <v>43</v>
      </c>
      <c r="B50" s="51"/>
      <c r="C50" s="62"/>
      <c r="D50" s="62"/>
      <c r="E50" s="62"/>
      <c r="F50" s="62"/>
      <c r="G50" s="51"/>
      <c r="H50" s="51"/>
      <c r="I50" s="51"/>
      <c r="J50" s="51"/>
      <c r="K50" s="51"/>
    </row>
    <row r="51" spans="1:11" ht="11.25" customHeight="1" x14ac:dyDescent="0.2">
      <c r="A51" s="19" t="s">
        <v>44</v>
      </c>
      <c r="B51" s="53">
        <f>+(B14/360)*B33</f>
        <v>2170.1388888888891</v>
      </c>
      <c r="C51" s="53">
        <f t="shared" ref="C51:K51" si="32">+(C14/360)*C33</f>
        <v>2309.9510513117284</v>
      </c>
      <c r="D51" s="53">
        <f t="shared" si="32"/>
        <v>2543.7857651112672</v>
      </c>
      <c r="E51" s="53">
        <f t="shared" si="32"/>
        <v>2801.4332368836913</v>
      </c>
      <c r="F51" s="53">
        <f t="shared" si="32"/>
        <v>3084.9140098698849</v>
      </c>
      <c r="G51" s="53">
        <f t="shared" si="32"/>
        <v>3396.8180570371601</v>
      </c>
      <c r="H51" s="53">
        <f t="shared" si="32"/>
        <v>3739.9917090255449</v>
      </c>
      <c r="I51" s="53">
        <f t="shared" si="32"/>
        <v>4117.5661125042116</v>
      </c>
      <c r="J51" s="53">
        <f t="shared" si="32"/>
        <v>4532.9857715566777</v>
      </c>
      <c r="K51" s="53">
        <f t="shared" si="32"/>
        <v>4990.0398984185404</v>
      </c>
    </row>
    <row r="52" spans="1:11" ht="11.25" customHeight="1" x14ac:dyDescent="0.2">
      <c r="A52" s="19" t="s">
        <v>140</v>
      </c>
      <c r="B52" s="53">
        <f>+B34*B18</f>
        <v>200</v>
      </c>
      <c r="C52" s="53">
        <f t="shared" ref="C52:K52" si="33">+C34*C18</f>
        <v>210</v>
      </c>
      <c r="D52" s="53">
        <f t="shared" si="33"/>
        <v>220.5</v>
      </c>
      <c r="E52" s="53">
        <f t="shared" si="33"/>
        <v>231.52500000000001</v>
      </c>
      <c r="F52" s="53">
        <f t="shared" si="33"/>
        <v>243.10125000000005</v>
      </c>
      <c r="G52" s="53">
        <f t="shared" si="33"/>
        <v>255.25631250000006</v>
      </c>
      <c r="H52" s="53">
        <f t="shared" si="33"/>
        <v>268.01912812500012</v>
      </c>
      <c r="I52" s="53">
        <f t="shared" si="33"/>
        <v>281.4200845312501</v>
      </c>
      <c r="J52" s="53">
        <f t="shared" si="33"/>
        <v>295.49108875781263</v>
      </c>
      <c r="K52" s="53">
        <f t="shared" si="33"/>
        <v>310.26564319570326</v>
      </c>
    </row>
    <row r="53" spans="1:11" ht="11.25" customHeight="1" x14ac:dyDescent="0.2">
      <c r="A53" s="19" t="s">
        <v>141</v>
      </c>
      <c r="B53" s="53">
        <f>+B35*B19</f>
        <v>120</v>
      </c>
      <c r="C53" s="53">
        <f t="shared" ref="C53:K53" si="34">+C35*C19</f>
        <v>129.6</v>
      </c>
      <c r="D53" s="53">
        <f t="shared" si="34"/>
        <v>139.96800000000002</v>
      </c>
      <c r="E53" s="53">
        <f t="shared" si="34"/>
        <v>151.16544000000002</v>
      </c>
      <c r="F53" s="53">
        <f t="shared" si="34"/>
        <v>163.25867520000003</v>
      </c>
      <c r="G53" s="53">
        <f t="shared" si="34"/>
        <v>176.31936921600004</v>
      </c>
      <c r="H53" s="53">
        <f t="shared" si="34"/>
        <v>190.42491875328005</v>
      </c>
      <c r="I53" s="53">
        <f t="shared" si="34"/>
        <v>205.65891225354247</v>
      </c>
      <c r="J53" s="53">
        <f t="shared" si="34"/>
        <v>222.11162523382589</v>
      </c>
      <c r="K53" s="53">
        <f t="shared" si="34"/>
        <v>239.88055525253196</v>
      </c>
    </row>
    <row r="54" spans="1:11" ht="11.25" customHeight="1" x14ac:dyDescent="0.2">
      <c r="A54" s="19" t="s">
        <v>45</v>
      </c>
      <c r="B54" s="53">
        <f>+B25</f>
        <v>2537.5</v>
      </c>
      <c r="C54" s="53">
        <f t="shared" ref="C54:K54" si="35">+C25</f>
        <v>2850.7922361111118</v>
      </c>
      <c r="D54" s="53">
        <f t="shared" si="35"/>
        <v>3187.1489314863056</v>
      </c>
      <c r="E54" s="53">
        <f t="shared" si="35"/>
        <v>3559.9616111499708</v>
      </c>
      <c r="F54" s="53">
        <f t="shared" si="35"/>
        <v>3972.8564962826549</v>
      </c>
      <c r="G54" s="53">
        <f t="shared" si="35"/>
        <v>4430.0003528436782</v>
      </c>
      <c r="H54" s="53">
        <f t="shared" si="35"/>
        <v>4935.9883057757925</v>
      </c>
      <c r="I54" s="53">
        <f t="shared" si="35"/>
        <v>5495.8853139605226</v>
      </c>
      <c r="J54" s="53">
        <f t="shared" si="35"/>
        <v>6115.2738115467773</v>
      </c>
      <c r="K54" s="53">
        <f t="shared" si="35"/>
        <v>6800.3061607893887</v>
      </c>
    </row>
    <row r="55" spans="1:11" ht="11.25" customHeight="1" x14ac:dyDescent="0.2">
      <c r="A55" s="19" t="s">
        <v>46</v>
      </c>
      <c r="B55" s="49"/>
      <c r="C55" s="95"/>
      <c r="D55" s="95"/>
      <c r="E55" s="95"/>
      <c r="F55" s="95"/>
      <c r="G55" s="49"/>
      <c r="H55" s="49"/>
      <c r="I55" s="49"/>
      <c r="J55" s="49"/>
      <c r="K55" s="49"/>
    </row>
    <row r="56" spans="1:11" ht="11.25" customHeight="1" x14ac:dyDescent="0.2">
      <c r="A56" s="36" t="s">
        <v>47</v>
      </c>
      <c r="B56" s="54">
        <f>SUM(B51:B55)</f>
        <v>5027.6388888888887</v>
      </c>
      <c r="C56" s="54">
        <f t="shared" ref="C56:K56" si="36">SUM(C51:C55)</f>
        <v>5500.3432874228401</v>
      </c>
      <c r="D56" s="54">
        <f t="shared" si="36"/>
        <v>6091.4026965975727</v>
      </c>
      <c r="E56" s="54">
        <f t="shared" si="36"/>
        <v>6744.0852880336624</v>
      </c>
      <c r="F56" s="54">
        <f t="shared" si="36"/>
        <v>7464.1304313525397</v>
      </c>
      <c r="G56" s="54">
        <f t="shared" si="36"/>
        <v>8258.3940915968378</v>
      </c>
      <c r="H56" s="54">
        <f t="shared" si="36"/>
        <v>9134.4240616796178</v>
      </c>
      <c r="I56" s="54">
        <f t="shared" si="36"/>
        <v>10100.530423249525</v>
      </c>
      <c r="J56" s="54">
        <f t="shared" si="36"/>
        <v>11165.862297095093</v>
      </c>
      <c r="K56" s="54">
        <f t="shared" si="36"/>
        <v>12340.492257656164</v>
      </c>
    </row>
    <row r="57" spans="1:11" ht="11.25" customHeight="1" x14ac:dyDescent="0.2">
      <c r="A57" s="39" t="s">
        <v>48</v>
      </c>
      <c r="B57" s="88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ht="11.25" customHeight="1" x14ac:dyDescent="0.2">
      <c r="A58" s="36" t="s">
        <v>49</v>
      </c>
      <c r="B58" s="55">
        <f>+B56+B57</f>
        <v>5027.6388888888887</v>
      </c>
      <c r="C58" s="55">
        <f t="shared" ref="C58:K58" si="37">+C56+C57</f>
        <v>5500.3432874228401</v>
      </c>
      <c r="D58" s="55">
        <f t="shared" si="37"/>
        <v>6091.4026965975727</v>
      </c>
      <c r="E58" s="55">
        <f t="shared" si="37"/>
        <v>6744.0852880336624</v>
      </c>
      <c r="F58" s="55">
        <f t="shared" si="37"/>
        <v>7464.1304313525397</v>
      </c>
      <c r="G58" s="55">
        <f t="shared" si="37"/>
        <v>8258.3940915968378</v>
      </c>
      <c r="H58" s="55">
        <f t="shared" si="37"/>
        <v>9134.4240616796178</v>
      </c>
      <c r="I58" s="55">
        <f t="shared" si="37"/>
        <v>10100.530423249525</v>
      </c>
      <c r="J58" s="55">
        <f t="shared" si="37"/>
        <v>11165.862297095093</v>
      </c>
      <c r="K58" s="55">
        <f t="shared" si="37"/>
        <v>12340.492257656164</v>
      </c>
    </row>
    <row r="59" spans="1:11" ht="11.25" customHeight="1" x14ac:dyDescent="0.2">
      <c r="B59" s="56"/>
    </row>
    <row r="60" spans="1:11" ht="11.25" customHeight="1" x14ac:dyDescent="0.2">
      <c r="A60" s="35" t="s">
        <v>50</v>
      </c>
      <c r="B60" s="51"/>
      <c r="C60" s="62"/>
      <c r="D60" s="62"/>
      <c r="E60" s="62"/>
      <c r="F60" s="62"/>
      <c r="G60" s="51"/>
      <c r="H60" s="51"/>
      <c r="I60" s="51"/>
      <c r="J60" s="51"/>
      <c r="K60" s="51"/>
    </row>
    <row r="61" spans="1:11" ht="11.25" customHeight="1" x14ac:dyDescent="0.2">
      <c r="A61" s="19" t="s">
        <v>51</v>
      </c>
      <c r="B61" s="52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1" ht="11.25" customHeight="1" x14ac:dyDescent="0.2">
      <c r="A62" s="19" t="s">
        <v>52</v>
      </c>
      <c r="B62" s="49">
        <f>+B26</f>
        <v>4462.5</v>
      </c>
      <c r="C62" s="49">
        <f t="shared" ref="C62:K62" si="38">+C26</f>
        <v>5013.4622083333343</v>
      </c>
      <c r="D62" s="49">
        <f t="shared" si="38"/>
        <v>5604.9860519241929</v>
      </c>
      <c r="E62" s="49">
        <f t="shared" si="38"/>
        <v>6260.622143746501</v>
      </c>
      <c r="F62" s="49">
        <f t="shared" si="38"/>
        <v>6986.7476313936349</v>
      </c>
      <c r="G62" s="49">
        <f t="shared" si="38"/>
        <v>7790.6902756906065</v>
      </c>
      <c r="H62" s="49">
        <f t="shared" si="38"/>
        <v>8680.5311584332903</v>
      </c>
      <c r="I62" s="49">
        <f t="shared" si="38"/>
        <v>9665.1776211029864</v>
      </c>
      <c r="J62" s="49">
        <f t="shared" si="38"/>
        <v>10754.447047892609</v>
      </c>
      <c r="K62" s="49">
        <f t="shared" si="38"/>
        <v>11959.159110353752</v>
      </c>
    </row>
    <row r="63" spans="1:11" ht="11.25" customHeight="1" x14ac:dyDescent="0.2">
      <c r="A63" s="19" t="s">
        <v>53</v>
      </c>
      <c r="B63" s="49">
        <v>0</v>
      </c>
      <c r="C63" s="95">
        <f>+B28+B63</f>
        <v>1785</v>
      </c>
      <c r="D63" s="95">
        <f t="shared" ref="D63:K63" si="39">+C28+C63</f>
        <v>3790.3848833333336</v>
      </c>
      <c r="E63" s="95">
        <f t="shared" si="39"/>
        <v>6032.3793041030112</v>
      </c>
      <c r="F63" s="95">
        <f t="shared" si="39"/>
        <v>8536.6281616016113</v>
      </c>
      <c r="G63" s="95">
        <f t="shared" si="39"/>
        <v>11331.327214159064</v>
      </c>
      <c r="H63" s="95">
        <f t="shared" si="39"/>
        <v>14447.603324435306</v>
      </c>
      <c r="I63" s="95">
        <f t="shared" si="39"/>
        <v>17919.81578780862</v>
      </c>
      <c r="J63" s="95">
        <f t="shared" si="39"/>
        <v>21785.886836249814</v>
      </c>
      <c r="K63" s="95">
        <f t="shared" si="39"/>
        <v>26087.665655406858</v>
      </c>
    </row>
    <row r="64" spans="1:11" ht="11.25" customHeight="1" x14ac:dyDescent="0.2">
      <c r="A64" s="37" t="s">
        <v>54</v>
      </c>
      <c r="B64" s="54">
        <f>SUM(B61:B63)</f>
        <v>4462.5</v>
      </c>
      <c r="C64" s="54">
        <f>SUM(C61:C63)</f>
        <v>6798.4622083333343</v>
      </c>
      <c r="D64" s="54">
        <f>SUM(D61:D63)</f>
        <v>9395.3709352575261</v>
      </c>
      <c r="E64" s="54">
        <f t="shared" ref="E64:K64" si="40">SUM(E61:E63)</f>
        <v>12293.001447849512</v>
      </c>
      <c r="F64" s="54">
        <f t="shared" si="40"/>
        <v>15523.375792995246</v>
      </c>
      <c r="G64" s="54">
        <f t="shared" si="40"/>
        <v>19122.01748984967</v>
      </c>
      <c r="H64" s="54">
        <f t="shared" si="40"/>
        <v>23128.134482868598</v>
      </c>
      <c r="I64" s="54">
        <f t="shared" si="40"/>
        <v>27584.993408911607</v>
      </c>
      <c r="J64" s="54">
        <f t="shared" si="40"/>
        <v>32540.333884142423</v>
      </c>
      <c r="K64" s="54">
        <f t="shared" si="40"/>
        <v>38046.824765760612</v>
      </c>
    </row>
    <row r="65" spans="1:13" ht="11.25" customHeight="1" x14ac:dyDescent="0.2">
      <c r="A65" s="31" t="s">
        <v>55</v>
      </c>
      <c r="B65" s="58">
        <f>+B58+B64</f>
        <v>9490.1388888888887</v>
      </c>
      <c r="C65" s="58">
        <f t="shared" ref="C65:K65" si="41">+C58+C64</f>
        <v>12298.805495756174</v>
      </c>
      <c r="D65" s="58">
        <f t="shared" si="41"/>
        <v>15486.7736318551</v>
      </c>
      <c r="E65" s="58">
        <f t="shared" si="41"/>
        <v>19037.086735883175</v>
      </c>
      <c r="F65" s="58">
        <f t="shared" si="41"/>
        <v>22987.506224347788</v>
      </c>
      <c r="G65" s="58">
        <f t="shared" si="41"/>
        <v>27380.411581446508</v>
      </c>
      <c r="H65" s="58">
        <f t="shared" si="41"/>
        <v>32262.558544548214</v>
      </c>
      <c r="I65" s="58">
        <f t="shared" si="41"/>
        <v>37685.523832161132</v>
      </c>
      <c r="J65" s="58">
        <f t="shared" si="41"/>
        <v>43706.196181237516</v>
      </c>
      <c r="K65" s="58">
        <f t="shared" si="41"/>
        <v>50387.317023416777</v>
      </c>
    </row>
    <row r="66" spans="1:13" ht="11.25" customHeight="1" x14ac:dyDescent="0.2">
      <c r="A66" s="24"/>
      <c r="B66" s="143"/>
      <c r="C66" s="143"/>
      <c r="D66" s="143"/>
      <c r="E66" s="143"/>
      <c r="F66" s="143"/>
      <c r="G66" s="143"/>
      <c r="H66" s="143"/>
      <c r="I66" s="143"/>
      <c r="J66" s="143"/>
      <c r="K66" s="143"/>
    </row>
    <row r="67" spans="1:13" ht="11.25" customHeigh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3" ht="11.25" customHeight="1" x14ac:dyDescent="0.2">
      <c r="A68" s="232" t="s">
        <v>56</v>
      </c>
      <c r="B68" s="96"/>
      <c r="C68" s="97"/>
      <c r="D68" s="97"/>
      <c r="E68" s="97"/>
      <c r="F68" s="238" t="s">
        <v>4</v>
      </c>
      <c r="G68" s="238"/>
      <c r="H68" s="97"/>
      <c r="I68" s="97"/>
      <c r="J68" s="97"/>
      <c r="K68" s="98"/>
    </row>
    <row r="69" spans="1:13" ht="11.25" customHeight="1" x14ac:dyDescent="0.2">
      <c r="A69" s="233"/>
      <c r="B69" s="3">
        <v>2010</v>
      </c>
      <c r="C69" s="3">
        <v>2011</v>
      </c>
      <c r="D69" s="3">
        <v>2012</v>
      </c>
      <c r="E69" s="3">
        <v>2013</v>
      </c>
      <c r="F69" s="3">
        <v>2014</v>
      </c>
      <c r="G69" s="3">
        <v>2015</v>
      </c>
      <c r="H69" s="3">
        <v>2016</v>
      </c>
      <c r="I69" s="3">
        <v>2017</v>
      </c>
      <c r="J69" s="3">
        <v>2018</v>
      </c>
      <c r="K69" s="3">
        <v>2019</v>
      </c>
    </row>
    <row r="70" spans="1:13" ht="11.25" customHeight="1" x14ac:dyDescent="0.2">
      <c r="A70" s="26" t="s">
        <v>57</v>
      </c>
      <c r="B70" s="57">
        <f>+B137</f>
        <v>5531.8055555555547</v>
      </c>
      <c r="C70" s="57">
        <f t="shared" ref="C70:K70" si="42">+C137</f>
        <v>7941.8729263117311</v>
      </c>
      <c r="D70" s="57">
        <f t="shared" si="42"/>
        <v>10693.219362058608</v>
      </c>
      <c r="E70" s="57">
        <f t="shared" si="42"/>
        <v>13763.198459535477</v>
      </c>
      <c r="F70" s="57">
        <f t="shared" si="42"/>
        <v>17185.228791784684</v>
      </c>
      <c r="G70" s="57">
        <f t="shared" si="42"/>
        <v>20996.883550383947</v>
      </c>
      <c r="H70" s="57">
        <f t="shared" si="42"/>
        <v>25239.631144439685</v>
      </c>
      <c r="I70" s="57">
        <f t="shared" si="42"/>
        <v>29959.232162422239</v>
      </c>
      <c r="J70" s="57">
        <f t="shared" si="42"/>
        <v>35206.177525572966</v>
      </c>
      <c r="K70" s="57">
        <f t="shared" si="42"/>
        <v>41036.170991112311</v>
      </c>
    </row>
    <row r="71" spans="1:13" ht="11.25" customHeight="1" x14ac:dyDescent="0.2">
      <c r="A71" s="27" t="s">
        <v>58</v>
      </c>
      <c r="B71" s="59">
        <f>+(B44-B41)-(B56-B55)</f>
        <v>-1069.3055555555547</v>
      </c>
      <c r="C71" s="59">
        <f t="shared" ref="C71:K71" si="43">+(C44-C41)-(C56-C55)</f>
        <v>-1143.4107179783969</v>
      </c>
      <c r="D71" s="59">
        <f t="shared" si="43"/>
        <v>-1297.8484268010825</v>
      </c>
      <c r="E71" s="59">
        <f t="shared" si="43"/>
        <v>-1470.1970116859648</v>
      </c>
      <c r="F71" s="59">
        <f t="shared" si="43"/>
        <v>-1661.8529987894362</v>
      </c>
      <c r="G71" s="59">
        <f t="shared" si="43"/>
        <v>-1874.8660605342775</v>
      </c>
      <c r="H71" s="59">
        <f t="shared" si="43"/>
        <v>-2111.4966615710855</v>
      </c>
      <c r="I71" s="59">
        <f t="shared" si="43"/>
        <v>-2374.2387535106318</v>
      </c>
      <c r="J71" s="59">
        <f t="shared" si="43"/>
        <v>-2665.8436414305434</v>
      </c>
      <c r="K71" s="59">
        <f t="shared" si="43"/>
        <v>-2989.3462253516973</v>
      </c>
    </row>
    <row r="72" spans="1:13" ht="11.25" customHeight="1" x14ac:dyDescent="0.2">
      <c r="A72" s="27" t="s">
        <v>59</v>
      </c>
      <c r="B72" s="59">
        <f>+B47</f>
        <v>0</v>
      </c>
      <c r="C72" s="59">
        <f t="shared" ref="C72:K72" si="44">+C47</f>
        <v>0</v>
      </c>
      <c r="D72" s="59">
        <f t="shared" si="44"/>
        <v>0</v>
      </c>
      <c r="E72" s="59">
        <f t="shared" si="44"/>
        <v>0</v>
      </c>
      <c r="F72" s="59">
        <f t="shared" si="44"/>
        <v>0</v>
      </c>
      <c r="G72" s="59">
        <f t="shared" si="44"/>
        <v>0</v>
      </c>
      <c r="H72" s="59">
        <f t="shared" si="44"/>
        <v>0</v>
      </c>
      <c r="I72" s="59">
        <f t="shared" si="44"/>
        <v>0</v>
      </c>
      <c r="J72" s="59">
        <f t="shared" si="44"/>
        <v>0</v>
      </c>
      <c r="K72" s="59">
        <f t="shared" si="44"/>
        <v>0</v>
      </c>
    </row>
    <row r="73" spans="1:13" ht="11.25" customHeight="1" x14ac:dyDescent="0.2">
      <c r="A73" s="28" t="s">
        <v>60</v>
      </c>
      <c r="B73" s="58">
        <f>SUM(B70:B72)</f>
        <v>4462.5</v>
      </c>
      <c r="C73" s="58">
        <f t="shared" ref="C73:K73" si="45">SUM(C70:C72)</f>
        <v>6798.4622083333343</v>
      </c>
      <c r="D73" s="58">
        <f t="shared" si="45"/>
        <v>9395.3709352575243</v>
      </c>
      <c r="E73" s="58">
        <f t="shared" si="45"/>
        <v>12293.001447849512</v>
      </c>
      <c r="F73" s="58">
        <f t="shared" si="45"/>
        <v>15523.375792995248</v>
      </c>
      <c r="G73" s="58">
        <f t="shared" si="45"/>
        <v>19122.01748984967</v>
      </c>
      <c r="H73" s="58">
        <f t="shared" si="45"/>
        <v>23128.134482868598</v>
      </c>
      <c r="I73" s="58">
        <f t="shared" si="45"/>
        <v>27584.993408911607</v>
      </c>
      <c r="J73" s="58">
        <f t="shared" si="45"/>
        <v>32540.333884142423</v>
      </c>
      <c r="K73" s="58">
        <f t="shared" si="45"/>
        <v>38046.824765760612</v>
      </c>
    </row>
    <row r="74" spans="1:13" ht="11.25" customHeight="1" x14ac:dyDescent="0.2">
      <c r="A74" s="29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3" ht="11.25" customHeight="1" x14ac:dyDescent="0.2">
      <c r="A75" s="26" t="s">
        <v>61</v>
      </c>
      <c r="B75" s="57">
        <f>+B55</f>
        <v>0</v>
      </c>
      <c r="C75" s="57">
        <f t="shared" ref="C75:K75" si="46">+C55</f>
        <v>0</v>
      </c>
      <c r="D75" s="57">
        <f t="shared" si="46"/>
        <v>0</v>
      </c>
      <c r="E75" s="57">
        <f t="shared" si="46"/>
        <v>0</v>
      </c>
      <c r="F75" s="57">
        <f t="shared" si="46"/>
        <v>0</v>
      </c>
      <c r="G75" s="57">
        <f t="shared" si="46"/>
        <v>0</v>
      </c>
      <c r="H75" s="57">
        <f t="shared" si="46"/>
        <v>0</v>
      </c>
      <c r="I75" s="57">
        <f t="shared" si="46"/>
        <v>0</v>
      </c>
      <c r="J75" s="57">
        <f t="shared" si="46"/>
        <v>0</v>
      </c>
      <c r="K75" s="57">
        <f t="shared" si="46"/>
        <v>0</v>
      </c>
    </row>
    <row r="76" spans="1:13" ht="11.25" customHeight="1" x14ac:dyDescent="0.2">
      <c r="A76" s="27" t="s">
        <v>62</v>
      </c>
      <c r="B76" s="59">
        <f>+B57</f>
        <v>0</v>
      </c>
      <c r="C76" s="59">
        <f t="shared" ref="C76:K76" si="47">+C57</f>
        <v>0</v>
      </c>
      <c r="D76" s="59">
        <f t="shared" si="47"/>
        <v>0</v>
      </c>
      <c r="E76" s="59">
        <f t="shared" si="47"/>
        <v>0</v>
      </c>
      <c r="F76" s="59">
        <f t="shared" si="47"/>
        <v>0</v>
      </c>
      <c r="G76" s="59">
        <f t="shared" si="47"/>
        <v>0</v>
      </c>
      <c r="H76" s="59">
        <f t="shared" si="47"/>
        <v>0</v>
      </c>
      <c r="I76" s="59">
        <f t="shared" si="47"/>
        <v>0</v>
      </c>
      <c r="J76" s="59">
        <f t="shared" si="47"/>
        <v>0</v>
      </c>
      <c r="K76" s="59">
        <f t="shared" si="47"/>
        <v>0</v>
      </c>
      <c r="M76" s="11"/>
    </row>
    <row r="77" spans="1:13" ht="11.25" customHeight="1" x14ac:dyDescent="0.2">
      <c r="A77" s="27" t="s">
        <v>63</v>
      </c>
      <c r="B77" s="59">
        <f>+B64</f>
        <v>4462.5</v>
      </c>
      <c r="C77" s="59">
        <f t="shared" ref="C77:K77" si="48">+C64</f>
        <v>6798.4622083333343</v>
      </c>
      <c r="D77" s="59">
        <f t="shared" si="48"/>
        <v>9395.3709352575261</v>
      </c>
      <c r="E77" s="59">
        <f t="shared" si="48"/>
        <v>12293.001447849512</v>
      </c>
      <c r="F77" s="59">
        <f t="shared" si="48"/>
        <v>15523.375792995246</v>
      </c>
      <c r="G77" s="59">
        <f t="shared" si="48"/>
        <v>19122.01748984967</v>
      </c>
      <c r="H77" s="59">
        <f t="shared" si="48"/>
        <v>23128.134482868598</v>
      </c>
      <c r="I77" s="59">
        <f t="shared" si="48"/>
        <v>27584.993408911607</v>
      </c>
      <c r="J77" s="59">
        <f t="shared" si="48"/>
        <v>32540.333884142423</v>
      </c>
      <c r="K77" s="59">
        <f t="shared" si="48"/>
        <v>38046.824765760612</v>
      </c>
    </row>
    <row r="78" spans="1:13" ht="11.25" customHeight="1" x14ac:dyDescent="0.2">
      <c r="A78" s="28" t="s">
        <v>64</v>
      </c>
      <c r="B78" s="58">
        <f>SUM(B75:B77)</f>
        <v>4462.5</v>
      </c>
      <c r="C78" s="58">
        <f t="shared" ref="C78:K78" si="49">SUM(C75:C77)</f>
        <v>6798.4622083333343</v>
      </c>
      <c r="D78" s="58">
        <f t="shared" si="49"/>
        <v>9395.3709352575261</v>
      </c>
      <c r="E78" s="58">
        <f t="shared" si="49"/>
        <v>12293.001447849512</v>
      </c>
      <c r="F78" s="58">
        <f t="shared" si="49"/>
        <v>15523.375792995246</v>
      </c>
      <c r="G78" s="58">
        <f t="shared" si="49"/>
        <v>19122.01748984967</v>
      </c>
      <c r="H78" s="58">
        <f t="shared" si="49"/>
        <v>23128.134482868598</v>
      </c>
      <c r="I78" s="58">
        <f t="shared" si="49"/>
        <v>27584.993408911607</v>
      </c>
      <c r="J78" s="58">
        <f t="shared" si="49"/>
        <v>32540.333884142423</v>
      </c>
      <c r="K78" s="58">
        <f t="shared" si="49"/>
        <v>38046.824765760612</v>
      </c>
    </row>
    <row r="79" spans="1:13" ht="11.25" customHeight="1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3" x14ac:dyDescent="0.2">
      <c r="A80" s="30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">
      <c r="A81" s="244" t="s">
        <v>78</v>
      </c>
      <c r="B81" s="114"/>
      <c r="C81" s="115"/>
      <c r="D81" s="115"/>
      <c r="E81" s="115"/>
      <c r="F81" s="227" t="s">
        <v>4</v>
      </c>
      <c r="G81" s="228"/>
      <c r="H81" s="115"/>
      <c r="I81" s="115"/>
      <c r="J81" s="115"/>
      <c r="K81" s="116"/>
    </row>
    <row r="82" spans="1:11" x14ac:dyDescent="0.2">
      <c r="A82" s="245"/>
      <c r="B82" s="91">
        <v>2010</v>
      </c>
      <c r="C82" s="91">
        <v>2011</v>
      </c>
      <c r="D82" s="91">
        <v>2012</v>
      </c>
      <c r="E82" s="91">
        <v>2013</v>
      </c>
      <c r="F82" s="91">
        <v>2014</v>
      </c>
      <c r="G82" s="91">
        <v>2015</v>
      </c>
      <c r="H82" s="91">
        <v>2016</v>
      </c>
      <c r="I82" s="91">
        <v>2017</v>
      </c>
      <c r="J82" s="91">
        <v>2018</v>
      </c>
      <c r="K82" s="91">
        <v>2019</v>
      </c>
    </row>
    <row r="83" spans="1:11" ht="11.25" customHeight="1" x14ac:dyDescent="0.2">
      <c r="A83" s="31" t="s">
        <v>79</v>
      </c>
      <c r="B83" s="33"/>
      <c r="C83" s="33"/>
      <c r="D83" s="33"/>
      <c r="E83" s="33"/>
      <c r="F83" s="33"/>
      <c r="G83" s="33"/>
      <c r="H83" s="33"/>
      <c r="I83" s="33"/>
      <c r="J83" s="33"/>
      <c r="K83" s="34"/>
    </row>
    <row r="84" spans="1:11" ht="11.25" customHeight="1" x14ac:dyDescent="0.2">
      <c r="A84" s="35" t="s">
        <v>80</v>
      </c>
      <c r="B84" s="51"/>
      <c r="C84" s="51"/>
      <c r="D84" s="51"/>
      <c r="E84" s="51"/>
      <c r="F84" s="51"/>
      <c r="G84" s="51"/>
      <c r="H84" s="51"/>
      <c r="I84" s="51"/>
      <c r="J84" s="51"/>
      <c r="K84" s="62"/>
    </row>
    <row r="85" spans="1:11" ht="11.25" customHeight="1" x14ac:dyDescent="0.2">
      <c r="A85" s="19" t="s">
        <v>81</v>
      </c>
      <c r="B85" s="92">
        <f>+B10-B42</f>
        <v>22916.666666666668</v>
      </c>
      <c r="C85" s="117">
        <f>+B42+C10-C42</f>
        <v>27291.666666666668</v>
      </c>
      <c r="D85" s="117">
        <f t="shared" ref="D85:K85" si="50">+C42+D10-D42</f>
        <v>30020.833333333343</v>
      </c>
      <c r="E85" s="117">
        <f t="shared" si="50"/>
        <v>33022.916666666679</v>
      </c>
      <c r="F85" s="117">
        <f t="shared" si="50"/>
        <v>36325.208333333343</v>
      </c>
      <c r="G85" s="117">
        <f t="shared" si="50"/>
        <v>39957.729166666686</v>
      </c>
      <c r="H85" s="117">
        <f t="shared" si="50"/>
        <v>43953.502083333369</v>
      </c>
      <c r="I85" s="117">
        <f t="shared" si="50"/>
        <v>48348.852291666699</v>
      </c>
      <c r="J85" s="117">
        <f t="shared" si="50"/>
        <v>53183.737520833376</v>
      </c>
      <c r="K85" s="117">
        <f t="shared" si="50"/>
        <v>58502.111272916714</v>
      </c>
    </row>
    <row r="86" spans="1:11" ht="11.25" customHeight="1" x14ac:dyDescent="0.2">
      <c r="A86" s="19" t="s">
        <v>82</v>
      </c>
      <c r="B86" s="48">
        <f>+B11</f>
        <v>0</v>
      </c>
      <c r="C86" s="48">
        <f t="shared" ref="C86:K86" si="51">+C11</f>
        <v>110.63611111111113</v>
      </c>
      <c r="D86" s="48">
        <f t="shared" si="51"/>
        <v>158.83745852623451</v>
      </c>
      <c r="E86" s="48">
        <f t="shared" si="51"/>
        <v>213.86438724117215</v>
      </c>
      <c r="F86" s="48">
        <f t="shared" si="51"/>
        <v>275.26396919070964</v>
      </c>
      <c r="G86" s="48">
        <f t="shared" si="51"/>
        <v>343.70457583569367</v>
      </c>
      <c r="H86" s="48">
        <f t="shared" si="51"/>
        <v>419.937671007679</v>
      </c>
      <c r="I86" s="48">
        <f t="shared" si="51"/>
        <v>504.7926228887938</v>
      </c>
      <c r="J86" s="48">
        <f t="shared" si="51"/>
        <v>599.1846432484449</v>
      </c>
      <c r="K86" s="48">
        <f t="shared" si="51"/>
        <v>704.12355051145983</v>
      </c>
    </row>
    <row r="87" spans="1:11" ht="11.25" customHeight="1" x14ac:dyDescent="0.2">
      <c r="A87" s="36" t="s">
        <v>83</v>
      </c>
      <c r="B87" s="50">
        <f>SUM(B85:B86)</f>
        <v>22916.666666666668</v>
      </c>
      <c r="C87" s="50">
        <f t="shared" ref="C87:K87" si="52">SUM(C85:C86)</f>
        <v>27402.302777777779</v>
      </c>
      <c r="D87" s="50">
        <f t="shared" si="52"/>
        <v>30179.670791859578</v>
      </c>
      <c r="E87" s="50">
        <f t="shared" si="52"/>
        <v>33236.781053907849</v>
      </c>
      <c r="F87" s="50">
        <f t="shared" si="52"/>
        <v>36600.472302524053</v>
      </c>
      <c r="G87" s="50">
        <f t="shared" si="52"/>
        <v>40301.433742502377</v>
      </c>
      <c r="H87" s="50">
        <f t="shared" si="52"/>
        <v>44373.439754341045</v>
      </c>
      <c r="I87" s="50">
        <f t="shared" si="52"/>
        <v>48853.644914555494</v>
      </c>
      <c r="J87" s="50">
        <f t="shared" si="52"/>
        <v>53782.922164081821</v>
      </c>
      <c r="K87" s="50">
        <f t="shared" si="52"/>
        <v>59206.234823428174</v>
      </c>
    </row>
    <row r="88" spans="1:11" ht="11.25" customHeight="1" x14ac:dyDescent="0.2">
      <c r="A88" s="35" t="s">
        <v>84</v>
      </c>
      <c r="B88" s="51"/>
      <c r="C88" s="62"/>
      <c r="D88" s="62"/>
      <c r="E88" s="62"/>
      <c r="F88" s="62"/>
      <c r="G88" s="51"/>
      <c r="H88" s="51"/>
      <c r="I88" s="51"/>
      <c r="J88" s="51"/>
      <c r="K88" s="62"/>
    </row>
    <row r="89" spans="1:11" ht="11.25" customHeight="1" x14ac:dyDescent="0.2">
      <c r="A89" s="19" t="s">
        <v>85</v>
      </c>
      <c r="B89" s="92">
        <f>+B14-B51</f>
        <v>13454.861111111111</v>
      </c>
      <c r="C89" s="117">
        <f>+B51+C14-C51</f>
        <v>16491.835407021608</v>
      </c>
      <c r="D89" s="117">
        <f t="shared" ref="D89:K89" si="53">+C51+D14-D51</f>
        <v>18081.422795001585</v>
      </c>
      <c r="E89" s="117">
        <f t="shared" si="53"/>
        <v>19912.671833790155</v>
      </c>
      <c r="F89" s="117">
        <f t="shared" si="53"/>
        <v>21927.900098076978</v>
      </c>
      <c r="G89" s="117">
        <f t="shared" si="53"/>
        <v>24145.185963500277</v>
      </c>
      <c r="H89" s="117">
        <f t="shared" si="53"/>
        <v>26584.766652995539</v>
      </c>
      <c r="I89" s="117">
        <f t="shared" si="53"/>
        <v>29268.901606551663</v>
      </c>
      <c r="J89" s="117">
        <f t="shared" si="53"/>
        <v>32222.077896155613</v>
      </c>
      <c r="K89" s="117">
        <f t="shared" si="53"/>
        <v>35471.233141751625</v>
      </c>
    </row>
    <row r="90" spans="1:11" ht="11.25" customHeight="1" x14ac:dyDescent="0.2">
      <c r="A90" s="19" t="s">
        <v>142</v>
      </c>
      <c r="B90" s="92">
        <f>+B18-B52</f>
        <v>1800</v>
      </c>
      <c r="C90" s="117">
        <f>+B52+C18-C52</f>
        <v>2090</v>
      </c>
      <c r="D90" s="117">
        <f t="shared" ref="D90:K90" si="54">+C52+D18-D52</f>
        <v>2194.5</v>
      </c>
      <c r="E90" s="117">
        <f t="shared" si="54"/>
        <v>2304.2249999999999</v>
      </c>
      <c r="F90" s="117">
        <f t="shared" si="54"/>
        <v>2419.4362500000002</v>
      </c>
      <c r="G90" s="117">
        <f t="shared" si="54"/>
        <v>2540.4080625000006</v>
      </c>
      <c r="H90" s="117">
        <f t="shared" si="54"/>
        <v>2667.4284656250011</v>
      </c>
      <c r="I90" s="117">
        <f t="shared" si="54"/>
        <v>2800.7998889062505</v>
      </c>
      <c r="J90" s="117">
        <f t="shared" si="54"/>
        <v>2940.8398833515639</v>
      </c>
      <c r="K90" s="117">
        <f t="shared" si="54"/>
        <v>3087.8818775191417</v>
      </c>
    </row>
    <row r="91" spans="1:11" ht="11.25" customHeight="1" x14ac:dyDescent="0.2">
      <c r="A91" s="19" t="s">
        <v>143</v>
      </c>
      <c r="B91" s="92">
        <f>+B19-B53</f>
        <v>880</v>
      </c>
      <c r="C91" s="117">
        <f>+B53+C19-C53</f>
        <v>1070.4000000000001</v>
      </c>
      <c r="D91" s="117">
        <f t="shared" ref="D91:K91" si="55">+C53+D19-D53</f>
        <v>1156.0319999999999</v>
      </c>
      <c r="E91" s="117">
        <f t="shared" si="55"/>
        <v>1248.5145600000003</v>
      </c>
      <c r="F91" s="117">
        <f t="shared" si="55"/>
        <v>1348.3957248000004</v>
      </c>
      <c r="G91" s="117">
        <f t="shared" si="55"/>
        <v>1456.2673827840003</v>
      </c>
      <c r="H91" s="117">
        <f t="shared" si="55"/>
        <v>1572.7687734067206</v>
      </c>
      <c r="I91" s="117">
        <f t="shared" si="55"/>
        <v>1698.5902752792583</v>
      </c>
      <c r="J91" s="117">
        <f t="shared" si="55"/>
        <v>1834.477497301599</v>
      </c>
      <c r="K91" s="117">
        <f t="shared" si="55"/>
        <v>1981.2356970857272</v>
      </c>
    </row>
    <row r="92" spans="1:11" ht="11.25" customHeight="1" x14ac:dyDescent="0.2">
      <c r="A92" s="19" t="s">
        <v>144</v>
      </c>
      <c r="B92" s="92">
        <f>+B25-B54</f>
        <v>0</v>
      </c>
      <c r="C92" s="117">
        <f>+B54+C25-C54</f>
        <v>2537.5000000000005</v>
      </c>
      <c r="D92" s="117">
        <f t="shared" ref="D92:K92" si="56">+C54+D25-D54</f>
        <v>2850.7922361111114</v>
      </c>
      <c r="E92" s="117">
        <f t="shared" si="56"/>
        <v>3187.1489314863056</v>
      </c>
      <c r="F92" s="117">
        <f t="shared" si="56"/>
        <v>3559.9616111499708</v>
      </c>
      <c r="G92" s="117">
        <f t="shared" si="56"/>
        <v>3972.856496282654</v>
      </c>
      <c r="H92" s="117">
        <f t="shared" si="56"/>
        <v>4430.0003528436773</v>
      </c>
      <c r="I92" s="117">
        <f t="shared" si="56"/>
        <v>4935.9883057757916</v>
      </c>
      <c r="J92" s="117">
        <f t="shared" si="56"/>
        <v>5495.8853139605226</v>
      </c>
      <c r="K92" s="117">
        <f t="shared" si="56"/>
        <v>6115.2738115467782</v>
      </c>
    </row>
    <row r="93" spans="1:11" ht="11.25" customHeight="1" x14ac:dyDescent="0.2">
      <c r="A93" s="36" t="s">
        <v>86</v>
      </c>
      <c r="B93" s="50">
        <f>SUM(B89:B92)</f>
        <v>16134.861111111111</v>
      </c>
      <c r="C93" s="50">
        <f t="shared" ref="C93:K93" si="57">SUM(C89:C92)</f>
        <v>22189.73540702161</v>
      </c>
      <c r="D93" s="50">
        <f t="shared" si="57"/>
        <v>24282.747031112696</v>
      </c>
      <c r="E93" s="50">
        <f t="shared" si="57"/>
        <v>26652.560325276459</v>
      </c>
      <c r="F93" s="50">
        <f t="shared" si="57"/>
        <v>29255.693684026948</v>
      </c>
      <c r="G93" s="50">
        <f t="shared" si="57"/>
        <v>32114.717905066929</v>
      </c>
      <c r="H93" s="50">
        <f t="shared" si="57"/>
        <v>35254.964244870942</v>
      </c>
      <c r="I93" s="50">
        <f t="shared" si="57"/>
        <v>38704.280076512965</v>
      </c>
      <c r="J93" s="50">
        <f t="shared" si="57"/>
        <v>42493.280590769289</v>
      </c>
      <c r="K93" s="50">
        <f t="shared" si="57"/>
        <v>46655.624527903274</v>
      </c>
    </row>
    <row r="94" spans="1:11" ht="11.25" customHeight="1" x14ac:dyDescent="0.2">
      <c r="A94" s="35" t="s">
        <v>87</v>
      </c>
      <c r="B94" s="51">
        <f>+B87-B93</f>
        <v>6781.8055555555566</v>
      </c>
      <c r="C94" s="51">
        <f t="shared" ref="C94:K94" si="58">+C87-C93</f>
        <v>5212.5673707561691</v>
      </c>
      <c r="D94" s="51">
        <f t="shared" si="58"/>
        <v>5896.9237607468822</v>
      </c>
      <c r="E94" s="51">
        <f t="shared" si="58"/>
        <v>6584.2207286313896</v>
      </c>
      <c r="F94" s="51">
        <f t="shared" si="58"/>
        <v>7344.7786184971046</v>
      </c>
      <c r="G94" s="51">
        <f t="shared" si="58"/>
        <v>8186.7158374354476</v>
      </c>
      <c r="H94" s="51">
        <f t="shared" si="58"/>
        <v>9118.4755094701031</v>
      </c>
      <c r="I94" s="51">
        <f t="shared" si="58"/>
        <v>10149.364838042529</v>
      </c>
      <c r="J94" s="51">
        <f t="shared" si="58"/>
        <v>11289.641573312532</v>
      </c>
      <c r="K94" s="51">
        <f t="shared" si="58"/>
        <v>12550.610295524901</v>
      </c>
    </row>
    <row r="95" spans="1:11" ht="11.25" customHeight="1" x14ac:dyDescent="0.2">
      <c r="A95" s="19" t="s">
        <v>88</v>
      </c>
      <c r="B95" s="92">
        <f>0-B40</f>
        <v>-1250</v>
      </c>
      <c r="C95" s="117">
        <f>+B40-C40</f>
        <v>-125.00000000000023</v>
      </c>
      <c r="D95" s="117">
        <f t="shared" ref="D95:K95" si="59">+C40-D40</f>
        <v>-137.50000000000023</v>
      </c>
      <c r="E95" s="117">
        <f t="shared" si="59"/>
        <v>-151.25</v>
      </c>
      <c r="F95" s="117">
        <f t="shared" si="59"/>
        <v>-166.37500000000045</v>
      </c>
      <c r="G95" s="117">
        <f t="shared" si="59"/>
        <v>-183.01250000000027</v>
      </c>
      <c r="H95" s="117">
        <f t="shared" si="59"/>
        <v>-201.31375000000025</v>
      </c>
      <c r="I95" s="117">
        <f t="shared" si="59"/>
        <v>-221.44512500000019</v>
      </c>
      <c r="J95" s="117">
        <f t="shared" si="59"/>
        <v>-243.58963750000066</v>
      </c>
      <c r="K95" s="117">
        <f t="shared" si="59"/>
        <v>-267.94860125000059</v>
      </c>
    </row>
    <row r="96" spans="1:11" ht="11.25" customHeight="1" x14ac:dyDescent="0.2">
      <c r="A96" s="36" t="s">
        <v>89</v>
      </c>
      <c r="B96" s="50">
        <f>SUM(B94:B95)</f>
        <v>5531.8055555555566</v>
      </c>
      <c r="C96" s="50">
        <f t="shared" ref="C96:K96" si="60">SUM(C94:C95)</f>
        <v>5087.5673707561691</v>
      </c>
      <c r="D96" s="50">
        <f t="shared" si="60"/>
        <v>5759.4237607468822</v>
      </c>
      <c r="E96" s="50">
        <f t="shared" si="60"/>
        <v>6432.9707286313896</v>
      </c>
      <c r="F96" s="50">
        <f t="shared" si="60"/>
        <v>7178.4036184971046</v>
      </c>
      <c r="G96" s="50">
        <f t="shared" si="60"/>
        <v>8003.7033374354469</v>
      </c>
      <c r="H96" s="50">
        <f t="shared" si="60"/>
        <v>8917.161759470102</v>
      </c>
      <c r="I96" s="50">
        <f t="shared" si="60"/>
        <v>9927.9197130425291</v>
      </c>
      <c r="J96" s="50">
        <f t="shared" si="60"/>
        <v>11046.051935812531</v>
      </c>
      <c r="K96" s="50">
        <f t="shared" si="60"/>
        <v>12282.661694274901</v>
      </c>
    </row>
    <row r="97" spans="1:11" ht="11.25" customHeight="1" x14ac:dyDescent="0.2">
      <c r="B97" s="104"/>
      <c r="C97" s="56"/>
      <c r="D97" s="56"/>
      <c r="E97" s="56"/>
      <c r="F97" s="56"/>
      <c r="G97" s="56"/>
      <c r="H97" s="56"/>
      <c r="I97" s="56"/>
      <c r="J97" s="56"/>
      <c r="K97" s="56"/>
    </row>
    <row r="98" spans="1:11" ht="11.25" customHeight="1" x14ac:dyDescent="0.2">
      <c r="A98" s="31" t="s">
        <v>90</v>
      </c>
      <c r="B98" s="112"/>
      <c r="C98" s="65"/>
      <c r="D98" s="65"/>
      <c r="E98" s="65"/>
      <c r="F98" s="65"/>
      <c r="G98" s="65"/>
      <c r="H98" s="65"/>
      <c r="I98" s="65"/>
      <c r="J98" s="65"/>
      <c r="K98" s="66"/>
    </row>
    <row r="99" spans="1:11" ht="11.25" customHeight="1" x14ac:dyDescent="0.2">
      <c r="A99" s="19" t="s">
        <v>91</v>
      </c>
      <c r="B99" s="51"/>
      <c r="C99" s="51"/>
      <c r="D99" s="51"/>
      <c r="E99" s="51"/>
      <c r="F99" s="51"/>
      <c r="G99" s="51"/>
      <c r="H99" s="51"/>
      <c r="I99" s="51"/>
      <c r="J99" s="51"/>
      <c r="K99" s="63"/>
    </row>
    <row r="100" spans="1:11" ht="11.25" customHeight="1" x14ac:dyDescent="0.2">
      <c r="A100" s="19" t="s">
        <v>92</v>
      </c>
      <c r="B100" s="92"/>
      <c r="C100" s="117"/>
      <c r="D100" s="117"/>
      <c r="E100" s="117"/>
      <c r="F100" s="117"/>
      <c r="G100" s="117"/>
      <c r="H100" s="117"/>
      <c r="I100" s="117"/>
      <c r="J100" s="117"/>
      <c r="K100" s="117"/>
    </row>
    <row r="101" spans="1:11" ht="11.25" customHeight="1" x14ac:dyDescent="0.2">
      <c r="A101" s="37" t="s">
        <v>93</v>
      </c>
      <c r="B101" s="48">
        <f>SUM(B99:B100)</f>
        <v>0</v>
      </c>
      <c r="C101" s="48">
        <f t="shared" ref="C101:K101" si="61">SUM(C99:C100)</f>
        <v>0</v>
      </c>
      <c r="D101" s="48">
        <f t="shared" si="61"/>
        <v>0</v>
      </c>
      <c r="E101" s="48">
        <f t="shared" si="61"/>
        <v>0</v>
      </c>
      <c r="F101" s="48">
        <f t="shared" si="61"/>
        <v>0</v>
      </c>
      <c r="G101" s="48">
        <f t="shared" si="61"/>
        <v>0</v>
      </c>
      <c r="H101" s="48">
        <f t="shared" si="61"/>
        <v>0</v>
      </c>
      <c r="I101" s="48">
        <f t="shared" si="61"/>
        <v>0</v>
      </c>
      <c r="J101" s="48">
        <f t="shared" si="61"/>
        <v>0</v>
      </c>
      <c r="K101" s="48">
        <f t="shared" si="61"/>
        <v>0</v>
      </c>
    </row>
    <row r="102" spans="1:11" ht="11.25" customHeight="1" x14ac:dyDescent="0.2">
      <c r="A102" s="31" t="s">
        <v>94</v>
      </c>
      <c r="B102" s="67">
        <f>+B101+B96</f>
        <v>5531.8055555555566</v>
      </c>
      <c r="C102" s="67">
        <f t="shared" ref="C102:K102" si="62">+C101+C96</f>
        <v>5087.5673707561691</v>
      </c>
      <c r="D102" s="67">
        <f t="shared" si="62"/>
        <v>5759.4237607468822</v>
      </c>
      <c r="E102" s="67">
        <f t="shared" si="62"/>
        <v>6432.9707286313896</v>
      </c>
      <c r="F102" s="67">
        <f t="shared" si="62"/>
        <v>7178.4036184971046</v>
      </c>
      <c r="G102" s="67">
        <f t="shared" si="62"/>
        <v>8003.7033374354469</v>
      </c>
      <c r="H102" s="67">
        <f t="shared" si="62"/>
        <v>8917.161759470102</v>
      </c>
      <c r="I102" s="67">
        <f t="shared" si="62"/>
        <v>9927.9197130425291</v>
      </c>
      <c r="J102" s="67">
        <f t="shared" si="62"/>
        <v>11046.051935812531</v>
      </c>
      <c r="K102" s="67">
        <f t="shared" si="62"/>
        <v>12282.661694274901</v>
      </c>
    </row>
    <row r="103" spans="1:11" ht="11.25" customHeight="1" x14ac:dyDescent="0.2">
      <c r="B103" s="104"/>
      <c r="C103" s="104"/>
      <c r="D103" s="104"/>
      <c r="E103" s="104"/>
      <c r="F103" s="56"/>
      <c r="G103" s="56"/>
      <c r="H103" s="56"/>
      <c r="I103" s="56"/>
      <c r="J103" s="56"/>
      <c r="K103" s="56"/>
    </row>
    <row r="104" spans="1:11" x14ac:dyDescent="0.2">
      <c r="A104" s="31" t="s">
        <v>95</v>
      </c>
      <c r="B104" s="141">
        <v>1</v>
      </c>
      <c r="C104" s="142">
        <v>2</v>
      </c>
      <c r="D104" s="141">
        <v>3</v>
      </c>
      <c r="E104" s="142">
        <v>4</v>
      </c>
      <c r="F104" s="141">
        <v>5</v>
      </c>
      <c r="G104" s="142">
        <v>6</v>
      </c>
      <c r="H104" s="141">
        <v>7</v>
      </c>
      <c r="I104" s="142">
        <v>8</v>
      </c>
      <c r="J104" s="141">
        <v>9</v>
      </c>
      <c r="K104" s="119">
        <v>10</v>
      </c>
    </row>
    <row r="105" spans="1:11" x14ac:dyDescent="0.2">
      <c r="A105" s="35" t="s">
        <v>43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63"/>
    </row>
    <row r="106" spans="1:11" x14ac:dyDescent="0.2">
      <c r="A106" s="19" t="s">
        <v>96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63"/>
    </row>
    <row r="107" spans="1:11" x14ac:dyDescent="0.2">
      <c r="A107" s="19" t="s">
        <v>97</v>
      </c>
      <c r="B107" s="92"/>
      <c r="C107" s="117"/>
      <c r="D107" s="117"/>
      <c r="E107" s="117"/>
      <c r="F107" s="117"/>
      <c r="G107" s="117"/>
      <c r="H107" s="117"/>
      <c r="I107" s="117"/>
      <c r="J107" s="117"/>
      <c r="K107" s="117"/>
    </row>
    <row r="108" spans="1:11" x14ac:dyDescent="0.2">
      <c r="A108" s="19" t="s">
        <v>98</v>
      </c>
      <c r="B108" s="48">
        <f>+B23</f>
        <v>0</v>
      </c>
      <c r="C108" s="48">
        <f t="shared" ref="C108:K108" si="63">+C23</f>
        <v>0</v>
      </c>
      <c r="D108" s="48">
        <f t="shared" si="63"/>
        <v>0</v>
      </c>
      <c r="E108" s="48">
        <f t="shared" si="63"/>
        <v>0</v>
      </c>
      <c r="F108" s="48">
        <f t="shared" si="63"/>
        <v>0</v>
      </c>
      <c r="G108" s="48">
        <f t="shared" si="63"/>
        <v>0</v>
      </c>
      <c r="H108" s="48">
        <f t="shared" si="63"/>
        <v>0</v>
      </c>
      <c r="I108" s="48">
        <f t="shared" si="63"/>
        <v>0</v>
      </c>
      <c r="J108" s="48">
        <f t="shared" si="63"/>
        <v>0</v>
      </c>
      <c r="K108" s="48">
        <f t="shared" si="63"/>
        <v>0</v>
      </c>
    </row>
    <row r="109" spans="1:11" x14ac:dyDescent="0.2">
      <c r="A109" s="36" t="s">
        <v>99</v>
      </c>
      <c r="B109" s="50">
        <f>SUM(B106:B108)</f>
        <v>0</v>
      </c>
      <c r="C109" s="50">
        <f t="shared" ref="C109:K109" si="64">SUM(C106:C108)</f>
        <v>0</v>
      </c>
      <c r="D109" s="50">
        <f t="shared" si="64"/>
        <v>0</v>
      </c>
      <c r="E109" s="50">
        <f t="shared" si="64"/>
        <v>0</v>
      </c>
      <c r="F109" s="50">
        <f t="shared" si="64"/>
        <v>0</v>
      </c>
      <c r="G109" s="50">
        <f t="shared" si="64"/>
        <v>0</v>
      </c>
      <c r="H109" s="50">
        <f t="shared" si="64"/>
        <v>0</v>
      </c>
      <c r="I109" s="50">
        <f t="shared" si="64"/>
        <v>0</v>
      </c>
      <c r="J109" s="50">
        <f t="shared" si="64"/>
        <v>0</v>
      </c>
      <c r="K109" s="50">
        <f t="shared" si="64"/>
        <v>0</v>
      </c>
    </row>
    <row r="110" spans="1:11" x14ac:dyDescent="0.2">
      <c r="A110" s="37" t="s">
        <v>50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63"/>
    </row>
    <row r="111" spans="1:11" x14ac:dyDescent="0.2">
      <c r="A111" s="19" t="s">
        <v>100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95"/>
    </row>
    <row r="112" spans="1:11" x14ac:dyDescent="0.2">
      <c r="A112" s="19" t="s">
        <v>101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63"/>
    </row>
    <row r="113" spans="1:12" x14ac:dyDescent="0.2">
      <c r="A113" s="19" t="s">
        <v>102</v>
      </c>
      <c r="B113" s="48"/>
      <c r="C113" s="63">
        <f>+B27</f>
        <v>2677.5</v>
      </c>
      <c r="D113" s="63">
        <f t="shared" ref="D113:K113" si="65">+C27</f>
        <v>3008.0773250000007</v>
      </c>
      <c r="E113" s="63">
        <f t="shared" si="65"/>
        <v>3362.9916311545157</v>
      </c>
      <c r="F113" s="63">
        <f t="shared" si="65"/>
        <v>3756.3732862479005</v>
      </c>
      <c r="G113" s="63">
        <f t="shared" si="65"/>
        <v>4192.0485788361812</v>
      </c>
      <c r="H113" s="63">
        <f t="shared" si="65"/>
        <v>4674.4141654143641</v>
      </c>
      <c r="I113" s="63">
        <f t="shared" si="65"/>
        <v>5208.3186950599738</v>
      </c>
      <c r="J113" s="63">
        <f t="shared" si="65"/>
        <v>5799.1065726617917</v>
      </c>
      <c r="K113" s="63">
        <f t="shared" si="65"/>
        <v>6452.6682287355652</v>
      </c>
    </row>
    <row r="114" spans="1:12" x14ac:dyDescent="0.2">
      <c r="A114" s="36" t="s">
        <v>103</v>
      </c>
      <c r="B114" s="48">
        <f>SUM(B111:B113)</f>
        <v>0</v>
      </c>
      <c r="C114" s="48">
        <f t="shared" ref="C114:K114" si="66">SUM(C111:C113)</f>
        <v>2677.5</v>
      </c>
      <c r="D114" s="48">
        <f t="shared" si="66"/>
        <v>3008.0773250000007</v>
      </c>
      <c r="E114" s="48">
        <f t="shared" si="66"/>
        <v>3362.9916311545157</v>
      </c>
      <c r="F114" s="48">
        <f t="shared" si="66"/>
        <v>3756.3732862479005</v>
      </c>
      <c r="G114" s="48">
        <f t="shared" si="66"/>
        <v>4192.0485788361812</v>
      </c>
      <c r="H114" s="48">
        <f t="shared" si="66"/>
        <v>4674.4141654143641</v>
      </c>
      <c r="I114" s="48">
        <f t="shared" si="66"/>
        <v>5208.3186950599738</v>
      </c>
      <c r="J114" s="48">
        <f t="shared" si="66"/>
        <v>5799.1065726617917</v>
      </c>
      <c r="K114" s="48">
        <f t="shared" si="66"/>
        <v>6452.6682287355652</v>
      </c>
    </row>
    <row r="115" spans="1:12" x14ac:dyDescent="0.2">
      <c r="A115" s="31" t="s">
        <v>104</v>
      </c>
      <c r="B115" s="67">
        <f>+B109+B114</f>
        <v>0</v>
      </c>
      <c r="C115" s="67">
        <f t="shared" ref="C115:K115" si="67">+C109+C114</f>
        <v>2677.5</v>
      </c>
      <c r="D115" s="67">
        <f t="shared" si="67"/>
        <v>3008.0773250000007</v>
      </c>
      <c r="E115" s="67">
        <f t="shared" si="67"/>
        <v>3362.9916311545157</v>
      </c>
      <c r="F115" s="67">
        <f t="shared" si="67"/>
        <v>3756.3732862479005</v>
      </c>
      <c r="G115" s="67">
        <f t="shared" si="67"/>
        <v>4192.0485788361812</v>
      </c>
      <c r="H115" s="67">
        <f t="shared" si="67"/>
        <v>4674.4141654143641</v>
      </c>
      <c r="I115" s="67">
        <f t="shared" si="67"/>
        <v>5208.3186950599738</v>
      </c>
      <c r="J115" s="67">
        <f t="shared" si="67"/>
        <v>5799.1065726617917</v>
      </c>
      <c r="K115" s="67">
        <f t="shared" si="67"/>
        <v>6452.6682287355652</v>
      </c>
    </row>
    <row r="116" spans="1:12" x14ac:dyDescent="0.2">
      <c r="B116" s="112"/>
      <c r="C116" s="122"/>
      <c r="D116" s="122"/>
      <c r="E116" s="122"/>
      <c r="F116" s="65"/>
      <c r="G116" s="56"/>
      <c r="H116" s="56"/>
      <c r="I116" s="56"/>
      <c r="J116" s="56"/>
      <c r="K116" s="56"/>
      <c r="L116" s="121"/>
    </row>
    <row r="117" spans="1:12" x14ac:dyDescent="0.2">
      <c r="A117" s="39" t="s">
        <v>105</v>
      </c>
      <c r="B117" s="51">
        <f>+B102-B115</f>
        <v>5531.8055555555566</v>
      </c>
      <c r="C117" s="51">
        <f t="shared" ref="C117:K117" si="68">+C102-C115</f>
        <v>2410.0673707561691</v>
      </c>
      <c r="D117" s="51">
        <f t="shared" si="68"/>
        <v>2751.3464357468815</v>
      </c>
      <c r="E117" s="51">
        <f t="shared" si="68"/>
        <v>3069.9790974768739</v>
      </c>
      <c r="F117" s="51">
        <f t="shared" si="68"/>
        <v>3422.0303322492041</v>
      </c>
      <c r="G117" s="51">
        <f t="shared" si="68"/>
        <v>3811.6547585992657</v>
      </c>
      <c r="H117" s="51">
        <f t="shared" si="68"/>
        <v>4242.7475940557379</v>
      </c>
      <c r="I117" s="51">
        <f t="shared" si="68"/>
        <v>4719.6010179825553</v>
      </c>
      <c r="J117" s="51">
        <f t="shared" si="68"/>
        <v>5246.9453631507395</v>
      </c>
      <c r="K117" s="51">
        <f t="shared" si="68"/>
        <v>5829.9934655393354</v>
      </c>
    </row>
    <row r="118" spans="1:12" x14ac:dyDescent="0.2">
      <c r="A118" s="36" t="s">
        <v>106</v>
      </c>
      <c r="B118" s="71">
        <f>+B117</f>
        <v>5531.8055555555566</v>
      </c>
      <c r="C118" s="120">
        <f>+B118+C117</f>
        <v>7941.8729263117257</v>
      </c>
      <c r="D118" s="120">
        <f t="shared" ref="D118:K118" si="69">+C118+D117</f>
        <v>10693.219362058608</v>
      </c>
      <c r="E118" s="120">
        <f t="shared" si="69"/>
        <v>13763.198459535481</v>
      </c>
      <c r="F118" s="120">
        <f t="shared" si="69"/>
        <v>17185.228791784684</v>
      </c>
      <c r="G118" s="120">
        <f t="shared" si="69"/>
        <v>20996.883550383951</v>
      </c>
      <c r="H118" s="120">
        <f t="shared" si="69"/>
        <v>25239.631144439689</v>
      </c>
      <c r="I118" s="120">
        <f t="shared" si="69"/>
        <v>29959.232162422246</v>
      </c>
      <c r="J118" s="120">
        <f t="shared" si="69"/>
        <v>35206.177525572988</v>
      </c>
      <c r="K118" s="120">
        <f t="shared" si="69"/>
        <v>41036.170991112325</v>
      </c>
    </row>
    <row r="119" spans="1:12" x14ac:dyDescent="0.2">
      <c r="A119" s="30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2" x14ac:dyDescent="0.2">
      <c r="A120" s="30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2" x14ac:dyDescent="0.2">
      <c r="A121" s="230" t="s">
        <v>107</v>
      </c>
      <c r="B121" s="227" t="s">
        <v>4</v>
      </c>
      <c r="C121" s="228"/>
      <c r="D121" s="228"/>
      <c r="E121" s="228"/>
      <c r="F121" s="228"/>
      <c r="G121" s="228"/>
      <c r="H121" s="228"/>
      <c r="I121" s="228"/>
      <c r="J121" s="228"/>
      <c r="K121" s="229"/>
    </row>
    <row r="122" spans="1:12" x14ac:dyDescent="0.2">
      <c r="A122" s="231"/>
      <c r="B122" s="91">
        <v>2010</v>
      </c>
      <c r="C122" s="91">
        <v>2011</v>
      </c>
      <c r="D122" s="91">
        <v>2012</v>
      </c>
      <c r="E122" s="91">
        <v>2013</v>
      </c>
      <c r="F122" s="91">
        <v>2014</v>
      </c>
      <c r="G122" s="91">
        <v>2015</v>
      </c>
      <c r="H122" s="91">
        <v>2016</v>
      </c>
      <c r="I122" s="91">
        <v>2017</v>
      </c>
      <c r="J122" s="91">
        <v>2018</v>
      </c>
      <c r="K122" s="91">
        <v>2019</v>
      </c>
    </row>
    <row r="123" spans="1:12" x14ac:dyDescent="0.2">
      <c r="A123" s="40" t="s">
        <v>108</v>
      </c>
      <c r="B123" s="80">
        <f>+B96</f>
        <v>5531.8055555555566</v>
      </c>
      <c r="C123" s="80">
        <f t="shared" ref="C123:K123" si="70">+C96</f>
        <v>5087.5673707561691</v>
      </c>
      <c r="D123" s="80">
        <f t="shared" si="70"/>
        <v>5759.4237607468822</v>
      </c>
      <c r="E123" s="80">
        <f t="shared" si="70"/>
        <v>6432.9707286313896</v>
      </c>
      <c r="F123" s="80">
        <f t="shared" si="70"/>
        <v>7178.4036184971046</v>
      </c>
      <c r="G123" s="80">
        <f t="shared" si="70"/>
        <v>8003.7033374354469</v>
      </c>
      <c r="H123" s="80">
        <f t="shared" si="70"/>
        <v>8917.161759470102</v>
      </c>
      <c r="I123" s="80">
        <f t="shared" si="70"/>
        <v>9927.9197130425291</v>
      </c>
      <c r="J123" s="80">
        <f t="shared" si="70"/>
        <v>11046.051935812531</v>
      </c>
      <c r="K123" s="51">
        <f t="shared" si="70"/>
        <v>12282.661694274901</v>
      </c>
    </row>
    <row r="124" spans="1:12" x14ac:dyDescent="0.2">
      <c r="A124" s="41" t="s">
        <v>109</v>
      </c>
      <c r="B124" s="81">
        <f>+B101</f>
        <v>0</v>
      </c>
      <c r="C124" s="81">
        <f t="shared" ref="C124:K124" si="71">+C101</f>
        <v>0</v>
      </c>
      <c r="D124" s="81">
        <f t="shared" si="71"/>
        <v>0</v>
      </c>
      <c r="E124" s="81">
        <f t="shared" si="71"/>
        <v>0</v>
      </c>
      <c r="F124" s="81">
        <f t="shared" si="71"/>
        <v>0</v>
      </c>
      <c r="G124" s="81">
        <f t="shared" si="71"/>
        <v>0</v>
      </c>
      <c r="H124" s="81">
        <f t="shared" si="71"/>
        <v>0</v>
      </c>
      <c r="I124" s="81">
        <f t="shared" si="71"/>
        <v>0</v>
      </c>
      <c r="J124" s="81">
        <f t="shared" si="71"/>
        <v>0</v>
      </c>
      <c r="K124" s="48">
        <f t="shared" si="71"/>
        <v>0</v>
      </c>
    </row>
    <row r="125" spans="1:12" x14ac:dyDescent="0.2">
      <c r="A125" s="28" t="s">
        <v>110</v>
      </c>
      <c r="B125" s="82">
        <f>SUM(B123:B124)</f>
        <v>5531.8055555555566</v>
      </c>
      <c r="C125" s="82">
        <f t="shared" ref="C125:K125" si="72">SUM(C123:C124)</f>
        <v>5087.5673707561691</v>
      </c>
      <c r="D125" s="82">
        <f t="shared" si="72"/>
        <v>5759.4237607468822</v>
      </c>
      <c r="E125" s="82">
        <f t="shared" si="72"/>
        <v>6432.9707286313896</v>
      </c>
      <c r="F125" s="82">
        <f t="shared" si="72"/>
        <v>7178.4036184971046</v>
      </c>
      <c r="G125" s="82">
        <f t="shared" si="72"/>
        <v>8003.7033374354469</v>
      </c>
      <c r="H125" s="82">
        <f t="shared" si="72"/>
        <v>8917.161759470102</v>
      </c>
      <c r="I125" s="82">
        <f t="shared" si="72"/>
        <v>9927.9197130425291</v>
      </c>
      <c r="J125" s="82">
        <f t="shared" si="72"/>
        <v>11046.051935812531</v>
      </c>
      <c r="K125" s="67">
        <f t="shared" si="72"/>
        <v>12282.661694274901</v>
      </c>
    </row>
    <row r="126" spans="1:12" x14ac:dyDescent="0.2">
      <c r="A126" s="30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2" x14ac:dyDescent="0.2">
      <c r="A127" s="40" t="s">
        <v>111</v>
      </c>
      <c r="B127" s="80">
        <f>+B109</f>
        <v>0</v>
      </c>
      <c r="C127" s="80">
        <f t="shared" ref="C127:K127" si="73">+C109</f>
        <v>0</v>
      </c>
      <c r="D127" s="80">
        <f t="shared" si="73"/>
        <v>0</v>
      </c>
      <c r="E127" s="80">
        <f t="shared" si="73"/>
        <v>0</v>
      </c>
      <c r="F127" s="80">
        <f t="shared" si="73"/>
        <v>0</v>
      </c>
      <c r="G127" s="80">
        <f t="shared" si="73"/>
        <v>0</v>
      </c>
      <c r="H127" s="80">
        <f t="shared" si="73"/>
        <v>0</v>
      </c>
      <c r="I127" s="80">
        <f t="shared" si="73"/>
        <v>0</v>
      </c>
      <c r="J127" s="80">
        <f t="shared" si="73"/>
        <v>0</v>
      </c>
      <c r="K127" s="51">
        <f t="shared" si="73"/>
        <v>0</v>
      </c>
    </row>
    <row r="128" spans="1:12" x14ac:dyDescent="0.2">
      <c r="A128" s="41" t="s">
        <v>112</v>
      </c>
      <c r="B128" s="81">
        <f>+B114</f>
        <v>0</v>
      </c>
      <c r="C128" s="81">
        <f t="shared" ref="C128:K128" si="74">+C114</f>
        <v>2677.5</v>
      </c>
      <c r="D128" s="81">
        <f t="shared" si="74"/>
        <v>3008.0773250000007</v>
      </c>
      <c r="E128" s="81">
        <f t="shared" si="74"/>
        <v>3362.9916311545157</v>
      </c>
      <c r="F128" s="81">
        <f t="shared" si="74"/>
        <v>3756.3732862479005</v>
      </c>
      <c r="G128" s="81">
        <f t="shared" si="74"/>
        <v>4192.0485788361812</v>
      </c>
      <c r="H128" s="81">
        <f t="shared" si="74"/>
        <v>4674.4141654143641</v>
      </c>
      <c r="I128" s="81">
        <f t="shared" si="74"/>
        <v>5208.3186950599738</v>
      </c>
      <c r="J128" s="81">
        <f t="shared" si="74"/>
        <v>5799.1065726617917</v>
      </c>
      <c r="K128" s="48">
        <f t="shared" si="74"/>
        <v>6452.6682287355652</v>
      </c>
    </row>
    <row r="129" spans="1:11" x14ac:dyDescent="0.2">
      <c r="A129" s="28" t="s">
        <v>113</v>
      </c>
      <c r="B129" s="82">
        <f>SUM(B127:B128)</f>
        <v>0</v>
      </c>
      <c r="C129" s="82">
        <f t="shared" ref="C129:K129" si="75">SUM(C127:C128)</f>
        <v>2677.5</v>
      </c>
      <c r="D129" s="82">
        <f t="shared" si="75"/>
        <v>3008.0773250000007</v>
      </c>
      <c r="E129" s="82">
        <f t="shared" si="75"/>
        <v>3362.9916311545157</v>
      </c>
      <c r="F129" s="82">
        <f t="shared" si="75"/>
        <v>3756.3732862479005</v>
      </c>
      <c r="G129" s="82">
        <f t="shared" si="75"/>
        <v>4192.0485788361812</v>
      </c>
      <c r="H129" s="82">
        <f t="shared" si="75"/>
        <v>4674.4141654143641</v>
      </c>
      <c r="I129" s="82">
        <f t="shared" si="75"/>
        <v>5208.3186950599738</v>
      </c>
      <c r="J129" s="82">
        <f t="shared" si="75"/>
        <v>5799.1065726617917</v>
      </c>
      <c r="K129" s="67">
        <f t="shared" si="75"/>
        <v>6452.6682287355652</v>
      </c>
    </row>
    <row r="130" spans="1:11" x14ac:dyDescent="0.2">
      <c r="A130" s="30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x14ac:dyDescent="0.2">
      <c r="A131" s="40" t="s">
        <v>114</v>
      </c>
      <c r="B131" s="80">
        <f>+B125-B129</f>
        <v>5531.8055555555566</v>
      </c>
      <c r="C131" s="80">
        <f t="shared" ref="C131:K131" si="76">+C125-C129</f>
        <v>2410.0673707561691</v>
      </c>
      <c r="D131" s="80">
        <f t="shared" si="76"/>
        <v>2751.3464357468815</v>
      </c>
      <c r="E131" s="80">
        <f t="shared" si="76"/>
        <v>3069.9790974768739</v>
      </c>
      <c r="F131" s="80">
        <f t="shared" si="76"/>
        <v>3422.0303322492041</v>
      </c>
      <c r="G131" s="80">
        <f t="shared" si="76"/>
        <v>3811.6547585992657</v>
      </c>
      <c r="H131" s="80">
        <f t="shared" si="76"/>
        <v>4242.7475940557379</v>
      </c>
      <c r="I131" s="80">
        <f t="shared" si="76"/>
        <v>4719.6010179825553</v>
      </c>
      <c r="J131" s="80">
        <f t="shared" si="76"/>
        <v>5246.9453631507395</v>
      </c>
      <c r="K131" s="51">
        <f t="shared" si="76"/>
        <v>5829.9934655393354</v>
      </c>
    </row>
    <row r="132" spans="1:11" x14ac:dyDescent="0.2">
      <c r="A132" s="42" t="s">
        <v>115</v>
      </c>
      <c r="B132" s="71">
        <f>+B131</f>
        <v>5531.8055555555566</v>
      </c>
      <c r="C132" s="71">
        <f>+B132+C131</f>
        <v>7941.8729263117257</v>
      </c>
      <c r="D132" s="71">
        <f t="shared" ref="D132:K132" si="77">+C132+D131</f>
        <v>10693.219362058608</v>
      </c>
      <c r="E132" s="71">
        <f t="shared" si="77"/>
        <v>13763.198459535481</v>
      </c>
      <c r="F132" s="71">
        <f t="shared" si="77"/>
        <v>17185.228791784684</v>
      </c>
      <c r="G132" s="71">
        <f t="shared" si="77"/>
        <v>20996.883550383951</v>
      </c>
      <c r="H132" s="71">
        <f t="shared" si="77"/>
        <v>25239.631144439689</v>
      </c>
      <c r="I132" s="71">
        <f t="shared" si="77"/>
        <v>29959.232162422246</v>
      </c>
      <c r="J132" s="71">
        <f t="shared" si="77"/>
        <v>35206.177525572988</v>
      </c>
      <c r="K132" s="71">
        <f t="shared" si="77"/>
        <v>41036.170991112325</v>
      </c>
    </row>
    <row r="133" spans="1:11" x14ac:dyDescent="0.2">
      <c r="A133" s="30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">
      <c r="A134" s="1" t="s">
        <v>65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">
      <c r="A135" s="30" t="s">
        <v>58</v>
      </c>
      <c r="B135" s="60">
        <f>+B71</f>
        <v>-1069.3055555555547</v>
      </c>
      <c r="C135" s="60">
        <f t="shared" ref="C135:K135" si="78">+C71</f>
        <v>-1143.4107179783969</v>
      </c>
      <c r="D135" s="60">
        <f t="shared" si="78"/>
        <v>-1297.8484268010825</v>
      </c>
      <c r="E135" s="60">
        <f t="shared" si="78"/>
        <v>-1470.1970116859648</v>
      </c>
      <c r="F135" s="60">
        <f t="shared" si="78"/>
        <v>-1661.8529987894362</v>
      </c>
      <c r="G135" s="60">
        <f t="shared" si="78"/>
        <v>-1874.8660605342775</v>
      </c>
      <c r="H135" s="60">
        <f t="shared" si="78"/>
        <v>-2111.4966615710855</v>
      </c>
      <c r="I135" s="60">
        <f t="shared" si="78"/>
        <v>-2374.2387535106318</v>
      </c>
      <c r="J135" s="60">
        <f t="shared" si="78"/>
        <v>-2665.8436414305434</v>
      </c>
      <c r="K135" s="60">
        <f t="shared" si="78"/>
        <v>-2989.3462253516973</v>
      </c>
    </row>
    <row r="136" spans="1:11" x14ac:dyDescent="0.2">
      <c r="A136" s="30" t="s">
        <v>66</v>
      </c>
      <c r="B136" s="61">
        <f>+B77+B76-B72</f>
        <v>4462.5</v>
      </c>
      <c r="C136" s="61">
        <f t="shared" ref="C136:K136" si="79">+C77+C76-C72</f>
        <v>6798.4622083333343</v>
      </c>
      <c r="D136" s="61">
        <f t="shared" si="79"/>
        <v>9395.3709352575261</v>
      </c>
      <c r="E136" s="61">
        <f t="shared" si="79"/>
        <v>12293.001447849512</v>
      </c>
      <c r="F136" s="61">
        <f t="shared" si="79"/>
        <v>15523.375792995246</v>
      </c>
      <c r="G136" s="61">
        <f t="shared" si="79"/>
        <v>19122.01748984967</v>
      </c>
      <c r="H136" s="61">
        <f t="shared" si="79"/>
        <v>23128.134482868598</v>
      </c>
      <c r="I136" s="61">
        <f t="shared" si="79"/>
        <v>27584.993408911607</v>
      </c>
      <c r="J136" s="61">
        <f t="shared" si="79"/>
        <v>32540.333884142423</v>
      </c>
      <c r="K136" s="61">
        <f t="shared" si="79"/>
        <v>38046.824765760612</v>
      </c>
    </row>
    <row r="137" spans="1:11" x14ac:dyDescent="0.2">
      <c r="A137" s="30" t="s">
        <v>67</v>
      </c>
      <c r="B137" s="56">
        <f>+B136-B135</f>
        <v>5531.8055555555547</v>
      </c>
      <c r="C137" s="56">
        <f t="shared" ref="C137:K137" si="80">+C136-C135</f>
        <v>7941.8729263117311</v>
      </c>
      <c r="D137" s="56">
        <f t="shared" si="80"/>
        <v>10693.219362058608</v>
      </c>
      <c r="E137" s="56">
        <f t="shared" si="80"/>
        <v>13763.198459535477</v>
      </c>
      <c r="F137" s="56">
        <f t="shared" si="80"/>
        <v>17185.228791784684</v>
      </c>
      <c r="G137" s="56">
        <f t="shared" si="80"/>
        <v>20996.883550383947</v>
      </c>
      <c r="H137" s="56">
        <f t="shared" si="80"/>
        <v>25239.631144439685</v>
      </c>
      <c r="I137" s="56">
        <f t="shared" si="80"/>
        <v>29959.232162422239</v>
      </c>
      <c r="J137" s="56">
        <f t="shared" si="80"/>
        <v>35206.177525572966</v>
      </c>
      <c r="K137" s="56">
        <f t="shared" si="80"/>
        <v>41036.170991112311</v>
      </c>
    </row>
    <row r="138" spans="1:11" x14ac:dyDescent="0.2">
      <c r="A138" s="30" t="s">
        <v>68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x14ac:dyDescent="0.2">
      <c r="A139" s="30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x14ac:dyDescent="0.2">
      <c r="A140" s="30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">
      <c r="A141" s="1" t="s">
        <v>69</v>
      </c>
    </row>
    <row r="142" spans="1:11" x14ac:dyDescent="0.2">
      <c r="A142" s="2" t="s">
        <v>70</v>
      </c>
      <c r="B142" s="93">
        <f>+B26/B10</f>
        <v>0.17849999999999999</v>
      </c>
      <c r="C142" s="93">
        <f t="shared" ref="C142:K142" si="81">+C26/C10</f>
        <v>0.18230771666666667</v>
      </c>
      <c r="D142" s="93">
        <f t="shared" si="81"/>
        <v>0.18528879510493196</v>
      </c>
      <c r="E142" s="93">
        <f t="shared" si="81"/>
        <v>0.18814792317795642</v>
      </c>
      <c r="F142" s="93">
        <f t="shared" si="81"/>
        <v>0.19088170565927551</v>
      </c>
      <c r="G142" s="93">
        <f t="shared" si="81"/>
        <v>0.19349622854103612</v>
      </c>
      <c r="H142" s="93">
        <f t="shared" si="81"/>
        <v>0.19599734151820422</v>
      </c>
      <c r="I142" s="93">
        <f t="shared" si="81"/>
        <v>0.19839057441642977</v>
      </c>
      <c r="J142" s="93">
        <f t="shared" si="81"/>
        <v>0.20068115671666714</v>
      </c>
      <c r="K142" s="93">
        <f t="shared" si="81"/>
        <v>0.2028740358575451</v>
      </c>
    </row>
    <row r="143" spans="1:11" x14ac:dyDescent="0.2">
      <c r="A143" s="2" t="s">
        <v>71</v>
      </c>
      <c r="B143" s="93"/>
      <c r="C143" s="93">
        <f>+C26/B73</f>
        <v>1.1234649206349208</v>
      </c>
      <c r="D143" s="93">
        <f t="shared" ref="D143:K143" si="82">+D26/C73</f>
        <v>0.82444910042359032</v>
      </c>
      <c r="E143" s="93">
        <f t="shared" si="82"/>
        <v>0.66635177971021742</v>
      </c>
      <c r="F143" s="93">
        <f t="shared" si="82"/>
        <v>0.56835164797087601</v>
      </c>
      <c r="G143" s="93">
        <f t="shared" si="82"/>
        <v>0.50186830362027757</v>
      </c>
      <c r="H143" s="93">
        <f t="shared" si="82"/>
        <v>0.45395477559002761</v>
      </c>
      <c r="I143" s="93">
        <f t="shared" si="82"/>
        <v>0.41789698292623417</v>
      </c>
      <c r="J143" s="93">
        <f t="shared" si="82"/>
        <v>0.38986585526673634</v>
      </c>
      <c r="K143" s="93">
        <f t="shared" si="82"/>
        <v>0.3675180209561924</v>
      </c>
    </row>
    <row r="144" spans="1:11" x14ac:dyDescent="0.2">
      <c r="A144" s="2" t="s">
        <v>72</v>
      </c>
      <c r="B144" s="93"/>
      <c r="C144" s="93">
        <f>+(C22*(1-36.25%))/B73</f>
        <v>1.1234649206349208</v>
      </c>
      <c r="D144" s="93">
        <f t="shared" ref="D144:K144" si="83">+(D22*(1-36.25%))/C73</f>
        <v>0.82444910042359021</v>
      </c>
      <c r="E144" s="93">
        <f t="shared" si="83"/>
        <v>0.66635177971021731</v>
      </c>
      <c r="F144" s="93">
        <f t="shared" si="83"/>
        <v>0.5683516479708759</v>
      </c>
      <c r="G144" s="93">
        <f t="shared" si="83"/>
        <v>0.50186830362027757</v>
      </c>
      <c r="H144" s="93">
        <f t="shared" si="83"/>
        <v>0.45395477559002761</v>
      </c>
      <c r="I144" s="93">
        <f t="shared" si="83"/>
        <v>0.41789698292623417</v>
      </c>
      <c r="J144" s="93">
        <f t="shared" si="83"/>
        <v>0.38986585526673628</v>
      </c>
      <c r="K144" s="93">
        <f t="shared" si="83"/>
        <v>0.3675180209561924</v>
      </c>
    </row>
    <row r="145" spans="1:11" x14ac:dyDescent="0.2">
      <c r="A145" s="2" t="s">
        <v>73</v>
      </c>
      <c r="B145" s="93"/>
      <c r="C145" s="93">
        <f>+C26/B77</f>
        <v>1.1234649206349208</v>
      </c>
      <c r="D145" s="93">
        <f t="shared" ref="D145:K145" si="84">+D26/C77</f>
        <v>0.82444910042359032</v>
      </c>
      <c r="E145" s="93">
        <f t="shared" si="84"/>
        <v>0.66635177971021731</v>
      </c>
      <c r="F145" s="93">
        <f t="shared" si="84"/>
        <v>0.56835164797087601</v>
      </c>
      <c r="G145" s="93">
        <f t="shared" si="84"/>
        <v>0.50186830362027768</v>
      </c>
      <c r="H145" s="93">
        <f t="shared" si="84"/>
        <v>0.45395477559002761</v>
      </c>
      <c r="I145" s="93">
        <f t="shared" si="84"/>
        <v>0.41789698292623417</v>
      </c>
      <c r="J145" s="93">
        <f t="shared" si="84"/>
        <v>0.38986585526673634</v>
      </c>
      <c r="K145" s="93">
        <f t="shared" si="84"/>
        <v>0.3675180209561924</v>
      </c>
    </row>
    <row r="147" spans="1:11" x14ac:dyDescent="0.2">
      <c r="A147" s="1" t="s">
        <v>74</v>
      </c>
    </row>
    <row r="148" spans="1:11" x14ac:dyDescent="0.2">
      <c r="A148" s="2" t="s">
        <v>75</v>
      </c>
      <c r="B148" s="90"/>
      <c r="C148" s="90">
        <f>+C10/B73</f>
        <v>6.162464985994399</v>
      </c>
      <c r="D148" s="90">
        <f t="shared" ref="D148:K148" si="85">+D10/C73</f>
        <v>4.4495356557135137</v>
      </c>
      <c r="E148" s="90">
        <f t="shared" si="85"/>
        <v>3.5416377096012921</v>
      </c>
      <c r="F148" s="90">
        <f t="shared" si="85"/>
        <v>2.9775071739215573</v>
      </c>
      <c r="G148" s="90">
        <f t="shared" si="85"/>
        <v>2.5936851968866299</v>
      </c>
      <c r="H148" s="90">
        <f t="shared" si="85"/>
        <v>2.3161272090410692</v>
      </c>
      <c r="I148" s="90">
        <f t="shared" si="85"/>
        <v>2.1064356719339483</v>
      </c>
      <c r="J148" s="90">
        <f t="shared" si="85"/>
        <v>1.9427128169146979</v>
      </c>
      <c r="K148" s="90">
        <f t="shared" si="85"/>
        <v>1.8115576959008084</v>
      </c>
    </row>
    <row r="149" spans="1:11" x14ac:dyDescent="0.2">
      <c r="A149" s="2" t="s">
        <v>76</v>
      </c>
      <c r="B149" s="144">
        <f>+B136/B135</f>
        <v>-4.1732692557475026</v>
      </c>
      <c r="C149" s="144">
        <f t="shared" ref="C149:K149" si="86">+C136/C135</f>
        <v>-5.9457744285914433</v>
      </c>
      <c r="D149" s="144">
        <f t="shared" si="86"/>
        <v>-7.2391896782701322</v>
      </c>
      <c r="E149" s="144">
        <f t="shared" si="86"/>
        <v>-8.3614654023492925</v>
      </c>
      <c r="F149" s="144">
        <f t="shared" si="86"/>
        <v>-9.3410041708280627</v>
      </c>
      <c r="G149" s="144">
        <f t="shared" si="86"/>
        <v>-10.199137897029562</v>
      </c>
      <c r="H149" s="144">
        <f t="shared" si="86"/>
        <v>-10.953431707374721</v>
      </c>
      <c r="I149" s="144">
        <f t="shared" si="86"/>
        <v>-11.618458071296949</v>
      </c>
      <c r="J149" s="144">
        <f t="shared" si="86"/>
        <v>-12.206392519960641</v>
      </c>
      <c r="K149" s="144">
        <f t="shared" si="86"/>
        <v>-12.727473466638811</v>
      </c>
    </row>
    <row r="150" spans="1:11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">
      <c r="A151" s="1" t="s">
        <v>77</v>
      </c>
      <c r="B151" s="13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">
      <c r="A152" s="2" t="s">
        <v>152</v>
      </c>
      <c r="B152" s="94">
        <f>+(B76+B75)/B73</f>
        <v>0</v>
      </c>
      <c r="C152" s="94">
        <f t="shared" ref="C152:K152" si="87">+(C76+C75)/C73</f>
        <v>0</v>
      </c>
      <c r="D152" s="94">
        <f t="shared" si="87"/>
        <v>0</v>
      </c>
      <c r="E152" s="94">
        <f t="shared" si="87"/>
        <v>0</v>
      </c>
      <c r="F152" s="94">
        <f t="shared" si="87"/>
        <v>0</v>
      </c>
      <c r="G152" s="94">
        <f t="shared" si="87"/>
        <v>0</v>
      </c>
      <c r="H152" s="94">
        <f t="shared" si="87"/>
        <v>0</v>
      </c>
      <c r="I152" s="94">
        <f t="shared" si="87"/>
        <v>0</v>
      </c>
      <c r="J152" s="94">
        <f t="shared" si="87"/>
        <v>0</v>
      </c>
      <c r="K152" s="94">
        <f t="shared" si="87"/>
        <v>0</v>
      </c>
    </row>
    <row r="153" spans="1:11" x14ac:dyDescent="0.2">
      <c r="A153" s="2" t="s">
        <v>153</v>
      </c>
      <c r="B153" s="90">
        <f>+B73/B77</f>
        <v>1</v>
      </c>
      <c r="C153" s="90">
        <f t="shared" ref="C153:K153" si="88">+C73/C77</f>
        <v>1</v>
      </c>
      <c r="D153" s="90">
        <f t="shared" si="88"/>
        <v>0.99999999999999978</v>
      </c>
      <c r="E153" s="90">
        <f t="shared" si="88"/>
        <v>1</v>
      </c>
      <c r="F153" s="90">
        <f t="shared" si="88"/>
        <v>1.0000000000000002</v>
      </c>
      <c r="G153" s="90">
        <f t="shared" si="88"/>
        <v>1</v>
      </c>
      <c r="H153" s="90">
        <f t="shared" si="88"/>
        <v>1</v>
      </c>
      <c r="I153" s="90">
        <f t="shared" si="88"/>
        <v>1</v>
      </c>
      <c r="J153" s="90">
        <f t="shared" si="88"/>
        <v>1</v>
      </c>
      <c r="K153" s="90">
        <f t="shared" si="88"/>
        <v>1</v>
      </c>
    </row>
    <row r="154" spans="1:11" x14ac:dyDescent="0.2">
      <c r="A154" s="30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">
      <c r="A155" s="30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">
      <c r="A156" s="230" t="s">
        <v>160</v>
      </c>
      <c r="B156" s="227" t="s">
        <v>4</v>
      </c>
      <c r="C156" s="228"/>
      <c r="D156" s="228"/>
      <c r="E156" s="228"/>
      <c r="F156" s="228"/>
      <c r="G156" s="228"/>
      <c r="H156" s="228"/>
      <c r="I156" s="228"/>
      <c r="J156" s="228"/>
      <c r="K156" s="229"/>
    </row>
    <row r="157" spans="1:11" x14ac:dyDescent="0.2">
      <c r="A157" s="231"/>
      <c r="B157" s="91">
        <v>2010</v>
      </c>
      <c r="C157" s="91">
        <v>2011</v>
      </c>
      <c r="D157" s="91">
        <v>2012</v>
      </c>
      <c r="E157" s="91">
        <v>2013</v>
      </c>
      <c r="F157" s="91">
        <v>2014</v>
      </c>
      <c r="G157" s="91">
        <v>2015</v>
      </c>
      <c r="H157" s="91">
        <v>2016</v>
      </c>
      <c r="I157" s="91">
        <v>2017</v>
      </c>
      <c r="J157" s="91">
        <v>2018</v>
      </c>
      <c r="K157" s="91">
        <v>2019</v>
      </c>
    </row>
    <row r="158" spans="1:11" x14ac:dyDescent="0.2">
      <c r="A158" s="123" t="s">
        <v>161</v>
      </c>
      <c r="B158" s="137">
        <f>+B129</f>
        <v>0</v>
      </c>
      <c r="C158" s="137">
        <f t="shared" ref="C158:K158" si="89">+C129</f>
        <v>2677.5</v>
      </c>
      <c r="D158" s="137">
        <f t="shared" si="89"/>
        <v>3008.0773250000007</v>
      </c>
      <c r="E158" s="137">
        <f t="shared" si="89"/>
        <v>3362.9916311545157</v>
      </c>
      <c r="F158" s="137">
        <f t="shared" si="89"/>
        <v>3756.3732862479005</v>
      </c>
      <c r="G158" s="137">
        <f t="shared" si="89"/>
        <v>4192.0485788361812</v>
      </c>
      <c r="H158" s="137">
        <f t="shared" si="89"/>
        <v>4674.4141654143641</v>
      </c>
      <c r="I158" s="137">
        <f t="shared" si="89"/>
        <v>5208.3186950599738</v>
      </c>
      <c r="J158" s="137">
        <f t="shared" si="89"/>
        <v>5799.1065726617917</v>
      </c>
      <c r="K158" s="137">
        <f t="shared" si="89"/>
        <v>6452.6682287355652</v>
      </c>
    </row>
    <row r="160" spans="1:11" x14ac:dyDescent="0.2">
      <c r="A160" s="18" t="s">
        <v>117</v>
      </c>
      <c r="B160" s="14" t="s">
        <v>175</v>
      </c>
      <c r="C160" s="14"/>
      <c r="D160" s="14"/>
      <c r="E160" s="14"/>
      <c r="F160" s="14"/>
      <c r="G160" s="14"/>
      <c r="H160" s="14"/>
      <c r="I160" s="14"/>
      <c r="J160" s="14"/>
      <c r="K160" s="44">
        <v>0.125</v>
      </c>
    </row>
    <row r="161" spans="1:11" x14ac:dyDescent="0.2">
      <c r="A161" s="20" t="s">
        <v>118</v>
      </c>
      <c r="B161" s="14" t="s">
        <v>174</v>
      </c>
      <c r="C161" s="14"/>
      <c r="D161" s="14"/>
      <c r="E161" s="14"/>
      <c r="F161" s="14"/>
      <c r="G161" s="14"/>
      <c r="H161" s="14"/>
      <c r="I161" s="14"/>
      <c r="J161" s="14"/>
      <c r="K161" s="5">
        <v>0.76</v>
      </c>
    </row>
    <row r="162" spans="1:11" x14ac:dyDescent="0.2">
      <c r="A162" s="20" t="s">
        <v>119</v>
      </c>
      <c r="B162" s="14" t="s">
        <v>176</v>
      </c>
      <c r="C162" s="14"/>
      <c r="D162" s="14"/>
      <c r="E162" s="14"/>
      <c r="F162" s="14"/>
      <c r="G162" s="14"/>
      <c r="H162" s="14"/>
      <c r="I162" s="14"/>
      <c r="J162" s="14"/>
      <c r="K162" s="45">
        <v>9.7900000000000001E-2</v>
      </c>
    </row>
    <row r="163" spans="1:11" x14ac:dyDescent="0.2">
      <c r="A163" s="23" t="s">
        <v>121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46">
        <f>+K160+K161*K162</f>
        <v>0.199404</v>
      </c>
    </row>
    <row r="164" spans="1:11" x14ac:dyDescent="0.2">
      <c r="A164" s="24"/>
      <c r="B164" s="14"/>
      <c r="C164" s="14"/>
      <c r="D164" s="14"/>
      <c r="E164" s="14"/>
      <c r="F164" s="14"/>
      <c r="G164" s="14"/>
      <c r="H164" s="14"/>
      <c r="I164" s="14"/>
      <c r="J164" s="14"/>
      <c r="K164" s="124"/>
    </row>
    <row r="165" spans="1:11" x14ac:dyDescent="0.2">
      <c r="A165" s="18" t="s">
        <v>122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51">
        <f>+K22*(1-36.25%)</f>
        <v>11959.159110353752</v>
      </c>
    </row>
    <row r="166" spans="1:11" x14ac:dyDescent="0.2">
      <c r="A166" s="20" t="s">
        <v>123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50">
        <f>+K165*K163</f>
        <v>2384.7041632409796</v>
      </c>
    </row>
    <row r="167" spans="1:11" x14ac:dyDescent="0.2">
      <c r="A167" s="23" t="s">
        <v>124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8">
        <f>SUM(K165:K166)</f>
        <v>14343.863273594732</v>
      </c>
    </row>
    <row r="169" spans="1:11" x14ac:dyDescent="0.2">
      <c r="A169" s="23" t="s">
        <v>162</v>
      </c>
      <c r="B169" s="145">
        <f>+B158</f>
        <v>0</v>
      </c>
      <c r="C169" s="145">
        <f t="shared" ref="C169:J169" si="90">+C158</f>
        <v>2677.5</v>
      </c>
      <c r="D169" s="145">
        <f t="shared" si="90"/>
        <v>3008.0773250000007</v>
      </c>
      <c r="E169" s="145">
        <f t="shared" si="90"/>
        <v>3362.9916311545157</v>
      </c>
      <c r="F169" s="145">
        <f t="shared" si="90"/>
        <v>3756.3732862479005</v>
      </c>
      <c r="G169" s="145">
        <f t="shared" si="90"/>
        <v>4192.0485788361812</v>
      </c>
      <c r="H169" s="145">
        <f t="shared" si="90"/>
        <v>4674.4141654143641</v>
      </c>
      <c r="I169" s="145">
        <f t="shared" si="90"/>
        <v>5208.3186950599738</v>
      </c>
      <c r="J169" s="145">
        <f t="shared" si="90"/>
        <v>5799.1065726617917</v>
      </c>
      <c r="K169" s="145">
        <f>+K158+K167</f>
        <v>20796.531502330297</v>
      </c>
    </row>
    <row r="171" spans="1:11" x14ac:dyDescent="0.2">
      <c r="A171" s="23" t="s">
        <v>163</v>
      </c>
      <c r="B171" s="145">
        <f>+NPV(K163,B169:K169)</f>
        <v>15180.725695847037</v>
      </c>
    </row>
    <row r="172" spans="1:11" x14ac:dyDescent="0.2">
      <c r="A172" s="123" t="s">
        <v>164</v>
      </c>
      <c r="B172" s="145">
        <v>0</v>
      </c>
    </row>
    <row r="173" spans="1:11" x14ac:dyDescent="0.2">
      <c r="A173" s="23" t="s">
        <v>165</v>
      </c>
      <c r="B173" s="145">
        <f>+B171-B172</f>
        <v>15180.725695847037</v>
      </c>
    </row>
    <row r="175" spans="1:11" x14ac:dyDescent="0.2">
      <c r="A175" s="123" t="s">
        <v>166</v>
      </c>
      <c r="B175" s="137">
        <f>+B64</f>
        <v>4462.5</v>
      </c>
    </row>
    <row r="176" spans="1:11" x14ac:dyDescent="0.2">
      <c r="A176" s="23" t="s">
        <v>167</v>
      </c>
      <c r="B176" s="146">
        <f>+B173/B175</f>
        <v>3.4018432931870111</v>
      </c>
    </row>
  </sheetData>
  <mergeCells count="12">
    <mergeCell ref="A8:A9"/>
    <mergeCell ref="F8:G8"/>
    <mergeCell ref="A37:A38"/>
    <mergeCell ref="F37:G37"/>
    <mergeCell ref="A68:A69"/>
    <mergeCell ref="F68:G68"/>
    <mergeCell ref="A81:A82"/>
    <mergeCell ref="F81:G81"/>
    <mergeCell ref="A121:A122"/>
    <mergeCell ref="B121:K121"/>
    <mergeCell ref="A156:A157"/>
    <mergeCell ref="B156:K156"/>
  </mergeCells>
  <printOptions headings="1"/>
  <pageMargins left="0.74803149606299213" right="0.74803149606299213" top="0.98425196850393704" bottom="0.98425196850393704" header="0" footer="0"/>
  <pageSetup paperSize="9" scale="7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Proyecto</vt:lpstr>
      <vt:lpstr>Proyecto-R</vt:lpstr>
      <vt:lpstr>Empresa-R</vt:lpstr>
      <vt:lpstr>Empresa</vt:lpstr>
      <vt:lpstr>Empresa 2</vt:lpstr>
      <vt:lpstr>Empresa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fromero</dc:creator>
  <cp:lastModifiedBy>Gabriel Rovayo</cp:lastModifiedBy>
  <cp:lastPrinted>2010-09-07T16:08:09Z</cp:lastPrinted>
  <dcterms:created xsi:type="dcterms:W3CDTF">2010-09-06T20:29:49Z</dcterms:created>
  <dcterms:modified xsi:type="dcterms:W3CDTF">2010-12-14T00:04:27Z</dcterms:modified>
</cp:coreProperties>
</file>